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735" windowHeight="2805" tabRatio="813" activeTab="6"/>
  </bookViews>
  <sheets>
    <sheet name="Nov-Dez" sheetId="1" r:id="rId1"/>
    <sheet name="Jan-Feb" sheetId="2" r:id="rId2"/>
    <sheet name="März-April" sheetId="3" r:id="rId3"/>
    <sheet name="Mai-Juni" sheetId="4" r:id="rId4"/>
    <sheet name="Juli-Aug" sheetId="5" r:id="rId5"/>
    <sheet name="Sept-Okt" sheetId="6" r:id="rId6"/>
    <sheet name="Planung" sheetId="7" r:id="rId7"/>
    <sheet name="8 Wo-Plan" sheetId="8" r:id="rId8"/>
    <sheet name="8 Wo-Plan Abb" sheetId="9" r:id="rId9"/>
    <sheet name="Vergleich" sheetId="10" r:id="rId10"/>
    <sheet name="Jahresübersicht" sheetId="11" r:id="rId11"/>
    <sheet name="Kader" sheetId="12" r:id="rId12"/>
    <sheet name="Kader Umfänge" sheetId="13" r:id="rId13"/>
  </sheets>
  <externalReferences>
    <externalReference r:id="rId16"/>
    <externalReference r:id="rId17"/>
  </externalReferences>
  <definedNames>
    <definedName name="TABLE_2_9">'Planung'!$C$79:$C$81</definedName>
    <definedName name="TABLE_2_91">'[1]Planung'!$C$79:$C$81</definedName>
    <definedName name="TABLE_9">'Planung'!$I$17:$I$18</definedName>
    <definedName name="TABLE_91">'[1]Planung'!$I$17:$I$18</definedName>
  </definedNames>
  <calcPr fullCalcOnLoad="1"/>
</workbook>
</file>

<file path=xl/comments1.xml><?xml version="1.0" encoding="utf-8"?>
<comments xmlns="http://schemas.openxmlformats.org/spreadsheetml/2006/main">
  <authors>
    <author/>
    <author>netz</author>
  </authors>
  <commentList>
    <comment ref="B3" authorId="0">
      <text>
        <r>
          <rPr>
            <sz val="9"/>
            <color indexed="8"/>
            <rFont val="Tahoma"/>
            <family val="2"/>
          </rPr>
          <t xml:space="preserve">Training im Bereich der
</t>
        </r>
        <r>
          <rPr>
            <b/>
            <sz val="9"/>
            <color indexed="8"/>
            <rFont val="Tahoma"/>
            <family val="2"/>
          </rPr>
          <t xml:space="preserve">Grundlagenausdauer 1:
</t>
        </r>
        <r>
          <rPr>
            <sz val="9"/>
            <color indexed="8"/>
            <rFont val="Tahoma"/>
            <family val="2"/>
          </rPr>
          <t>Verbesserung der lokalen Muskelausdauer</t>
        </r>
      </text>
    </comment>
    <comment ref="C3" authorId="0">
      <text>
        <r>
          <rPr>
            <sz val="9"/>
            <color indexed="8"/>
            <rFont val="Tahoma"/>
            <family val="2"/>
          </rPr>
          <t xml:space="preserve">Training mit Hauptteil im Bereich der 
</t>
        </r>
        <r>
          <rPr>
            <b/>
            <sz val="9"/>
            <color indexed="8"/>
            <rFont val="Tahoma"/>
            <family val="2"/>
          </rPr>
          <t>Grundlagenausdauer 2</t>
        </r>
        <r>
          <rPr>
            <sz val="9"/>
            <color indexed="8"/>
            <rFont val="Tahoma"/>
            <family val="2"/>
          </rPr>
          <t xml:space="preserve">: 
</t>
        </r>
        <r>
          <rPr>
            <b/>
            <sz val="9"/>
            <color indexed="8"/>
            <rFont val="Tahoma"/>
            <family val="2"/>
          </rPr>
          <t xml:space="preserve">             </t>
        </r>
        <r>
          <rPr>
            <sz val="9"/>
            <color indexed="8"/>
            <rFont val="Tahoma"/>
            <family val="2"/>
          </rPr>
          <t>höhere Geschwindigkeit</t>
        </r>
      </text>
    </comment>
    <comment ref="D3" authorId="0">
      <text>
        <r>
          <rPr>
            <sz val="9"/>
            <color indexed="8"/>
            <rFont val="Tahoma"/>
            <family val="2"/>
          </rPr>
          <t xml:space="preserve">Training mit Aufgabenteil im Bereich der
</t>
        </r>
        <r>
          <rPr>
            <b/>
            <sz val="9"/>
            <color indexed="8"/>
            <rFont val="Tahoma"/>
            <family val="2"/>
          </rPr>
          <t xml:space="preserve">Wettkampfspezifische Ausdauer
</t>
        </r>
      </text>
    </comment>
    <comment ref="F5" authorId="0">
      <text>
        <r>
          <rPr>
            <sz val="8"/>
            <color indexed="8"/>
            <rFont val="Tahoma"/>
            <family val="2"/>
          </rPr>
          <t>richtig gut gefühlt, hätte gern noch was rangehängt</t>
        </r>
      </text>
    </comment>
    <comment ref="F6" authorId="0">
      <text>
        <r>
          <rPr>
            <sz val="8"/>
            <color indexed="8"/>
            <rFont val="Tahoma"/>
            <family val="2"/>
          </rPr>
          <t>normal gefühlt</t>
        </r>
      </text>
    </comment>
    <comment ref="F7" authorId="0">
      <text>
        <r>
          <rPr>
            <sz val="8"/>
            <color indexed="8"/>
            <rFont val="Tahoma"/>
            <family val="2"/>
          </rPr>
          <t>nicht so gut gefühlt, war froh, dass es vorbei war ... Entlastungstag (E) sollte folgen</t>
        </r>
      </text>
    </comment>
    <comment ref="C21" authorId="1">
      <text>
        <r>
          <rPr>
            <sz val="9"/>
            <rFont val="Tahoma"/>
            <family val="2"/>
          </rPr>
          <t>Grunewald-Bergtraining
- Abzweig Krumme Lanke 20km
- bis Anstieg-Grunwaldturm 25km: 2x Anstieg 800m + runter = ca. 1,6km
zurück 25km</t>
        </r>
      </text>
    </comment>
    <comment ref="D11" authorId="0">
      <text>
        <r>
          <rPr>
            <sz val="8"/>
            <color indexed="8"/>
            <rFont val="Tahoma"/>
            <family val="2"/>
          </rPr>
          <t xml:space="preserve">7 km GA1  + 1x 800 m GA2 </t>
        </r>
      </text>
    </comment>
    <comment ref="B16" authorId="1">
      <text>
        <r>
          <rPr>
            <sz val="9"/>
            <rFont val="Tahoma"/>
            <family val="2"/>
          </rPr>
          <t>400 m Einschwimmen
1500 m Test in 22:30
400m Ausschwimmen</t>
        </r>
      </text>
    </comment>
    <comment ref="E18" authorId="0">
      <text>
        <r>
          <rPr>
            <sz val="8"/>
            <color indexed="8"/>
            <rFont val="Tahoma"/>
            <family val="2"/>
          </rPr>
          <t xml:space="preserve">Rücken-/Schulter-/Nackenbereich
</t>
        </r>
      </text>
    </comment>
    <comment ref="E14" authorId="1">
      <text>
        <r>
          <rPr>
            <sz val="9"/>
            <rFont val="Tahoma"/>
            <family val="2"/>
          </rPr>
          <t>Trockensauna &amp; Eigenmassage (mit feinkörnigem Toten Meer Salz - durchblutungsfördernd u. entschlackend  und anschl. Pfefferminzöl (China-Öl) entspannungsfördernd u. antibakteriell)</t>
        </r>
      </text>
    </comment>
    <comment ref="F11" authorId="0">
      <text>
        <r>
          <rPr>
            <sz val="8"/>
            <color indexed="8"/>
            <rFont val="Tahoma"/>
            <family val="2"/>
          </rPr>
          <t>richtig gut gefühlt, hätte gern noch was rangehängt</t>
        </r>
      </text>
    </comment>
    <comment ref="A9" authorId="1">
      <text>
        <r>
          <rPr>
            <sz val="9"/>
            <rFont val="Tahoma"/>
            <family val="2"/>
          </rPr>
          <t>hier aktuelles Datum einfügen</t>
        </r>
      </text>
    </comment>
  </commentList>
</comments>
</file>

<file path=xl/comments10.xml><?xml version="1.0" encoding="utf-8"?>
<comments xmlns="http://schemas.openxmlformats.org/spreadsheetml/2006/main">
  <authors>
    <author/>
    <author>netz</author>
  </authors>
  <commentList>
    <comment ref="C3" authorId="0">
      <text>
        <r>
          <rPr>
            <sz val="9"/>
            <color indexed="8"/>
            <rFont val="Tahoma"/>
            <family val="2"/>
          </rPr>
          <t>Wochendurchschnitt (52 Wochen)</t>
        </r>
      </text>
    </comment>
    <comment ref="G3" authorId="0">
      <text>
        <r>
          <rPr>
            <sz val="9"/>
            <color indexed="8"/>
            <rFont val="Tahoma"/>
            <family val="2"/>
          </rPr>
          <t>Wochendurchschnitt (52 Wochen)</t>
        </r>
      </text>
    </comment>
    <comment ref="D3" authorId="1">
      <text>
        <r>
          <rPr>
            <sz val="9"/>
            <rFont val="Tahoma"/>
            <family val="2"/>
          </rPr>
          <t>1,5 km in 22:30 min
40 km in 1:10 h
10 km in 39:30 min</t>
        </r>
      </text>
    </comment>
    <comment ref="D2" authorId="1">
      <text>
        <r>
          <rPr>
            <sz val="9"/>
            <rFont val="Tahoma"/>
            <family val="2"/>
          </rPr>
          <t>HW am 29.08.</t>
        </r>
      </text>
    </comment>
    <comment ref="H2" authorId="1">
      <text>
        <r>
          <t/>
        </r>
      </text>
    </comment>
    <comment ref="H3" authorId="1">
      <text>
        <r>
          <t/>
        </r>
      </text>
    </comment>
  </commentList>
</comments>
</file>

<file path=xl/comments2.xml><?xml version="1.0" encoding="utf-8"?>
<comments xmlns="http://schemas.openxmlformats.org/spreadsheetml/2006/main">
  <authors>
    <author/>
  </authors>
  <commentList>
    <comment ref="B3" authorId="0">
      <text>
        <r>
          <rPr>
            <sz val="9"/>
            <color indexed="8"/>
            <rFont val="Tahoma"/>
            <family val="2"/>
          </rPr>
          <t xml:space="preserve">Training im Bereich der
</t>
        </r>
        <r>
          <rPr>
            <b/>
            <sz val="9"/>
            <color indexed="8"/>
            <rFont val="Tahoma"/>
            <family val="2"/>
          </rPr>
          <t xml:space="preserve">Grundlagenausdauer 1:
</t>
        </r>
        <r>
          <rPr>
            <sz val="9"/>
            <color indexed="8"/>
            <rFont val="Tahoma"/>
            <family val="2"/>
          </rPr>
          <t>Verbesserung der lokalen Muskelausdauer</t>
        </r>
      </text>
    </comment>
    <comment ref="C3" authorId="0">
      <text>
        <r>
          <rPr>
            <sz val="9"/>
            <color indexed="8"/>
            <rFont val="Tahoma"/>
            <family val="2"/>
          </rPr>
          <t xml:space="preserve">Training mit Hauptteil im Bereich der 
</t>
        </r>
        <r>
          <rPr>
            <b/>
            <sz val="9"/>
            <color indexed="8"/>
            <rFont val="Tahoma"/>
            <family val="2"/>
          </rPr>
          <t>Grundlagenausdauer 2</t>
        </r>
        <r>
          <rPr>
            <sz val="9"/>
            <color indexed="8"/>
            <rFont val="Tahoma"/>
            <family val="2"/>
          </rPr>
          <t xml:space="preserve">: 
</t>
        </r>
        <r>
          <rPr>
            <b/>
            <sz val="9"/>
            <color indexed="8"/>
            <rFont val="Tahoma"/>
            <family val="2"/>
          </rPr>
          <t xml:space="preserve">             </t>
        </r>
        <r>
          <rPr>
            <sz val="9"/>
            <color indexed="8"/>
            <rFont val="Tahoma"/>
            <family val="2"/>
          </rPr>
          <t>höhere Geschwindigkeit</t>
        </r>
      </text>
    </comment>
    <comment ref="D3" authorId="0">
      <text>
        <r>
          <rPr>
            <sz val="9"/>
            <color indexed="8"/>
            <rFont val="Tahoma"/>
            <family val="2"/>
          </rPr>
          <t xml:space="preserve">Training mit Aufgabenteil im Bereich der
</t>
        </r>
        <r>
          <rPr>
            <b/>
            <sz val="9"/>
            <color indexed="8"/>
            <rFont val="Tahoma"/>
            <family val="2"/>
          </rPr>
          <t xml:space="preserve">Wettkampfspezifische Ausdauer
</t>
        </r>
      </text>
    </comment>
    <comment ref="F5" authorId="0">
      <text>
        <r>
          <rPr>
            <sz val="8"/>
            <color indexed="8"/>
            <rFont val="Tahoma"/>
            <family val="2"/>
          </rPr>
          <t>richtig gut gefühlt, hätte gern noch was rangehängt</t>
        </r>
      </text>
    </comment>
    <comment ref="F6" authorId="0">
      <text>
        <r>
          <rPr>
            <sz val="8"/>
            <color indexed="8"/>
            <rFont val="Tahoma"/>
            <family val="2"/>
          </rPr>
          <t>normal gefühlt</t>
        </r>
      </text>
    </comment>
    <comment ref="F7" authorId="0">
      <text>
        <r>
          <rPr>
            <sz val="8"/>
            <color indexed="8"/>
            <rFont val="Tahoma"/>
            <family val="2"/>
          </rPr>
          <t>nicht so gut gefühlt, war froh, dass es vorbei war ... Entlastungstag (E) sollte folgen</t>
        </r>
      </text>
    </comment>
  </commentList>
</comments>
</file>

<file path=xl/comments3.xml><?xml version="1.0" encoding="utf-8"?>
<comments xmlns="http://schemas.openxmlformats.org/spreadsheetml/2006/main">
  <authors>
    <author/>
  </authors>
  <commentList>
    <comment ref="B3" authorId="0">
      <text>
        <r>
          <rPr>
            <sz val="9"/>
            <color indexed="8"/>
            <rFont val="Tahoma"/>
            <family val="2"/>
          </rPr>
          <t xml:space="preserve">Training im Bereich der
</t>
        </r>
        <r>
          <rPr>
            <b/>
            <sz val="9"/>
            <color indexed="8"/>
            <rFont val="Tahoma"/>
            <family val="2"/>
          </rPr>
          <t xml:space="preserve">Grundlagenausdauer 1:
</t>
        </r>
        <r>
          <rPr>
            <sz val="9"/>
            <color indexed="8"/>
            <rFont val="Tahoma"/>
            <family val="2"/>
          </rPr>
          <t>Verbesserung der lokalen Muskelausdauer</t>
        </r>
      </text>
    </comment>
    <comment ref="C3" authorId="0">
      <text>
        <r>
          <rPr>
            <sz val="9"/>
            <color indexed="8"/>
            <rFont val="Tahoma"/>
            <family val="2"/>
          </rPr>
          <t xml:space="preserve">Training mit Hauptteil im Bereich der 
</t>
        </r>
        <r>
          <rPr>
            <b/>
            <sz val="9"/>
            <color indexed="8"/>
            <rFont val="Tahoma"/>
            <family val="2"/>
          </rPr>
          <t>Grundlagenausdauer 2</t>
        </r>
        <r>
          <rPr>
            <sz val="9"/>
            <color indexed="8"/>
            <rFont val="Tahoma"/>
            <family val="2"/>
          </rPr>
          <t xml:space="preserve">: 
</t>
        </r>
        <r>
          <rPr>
            <b/>
            <sz val="9"/>
            <color indexed="8"/>
            <rFont val="Tahoma"/>
            <family val="2"/>
          </rPr>
          <t xml:space="preserve">             </t>
        </r>
        <r>
          <rPr>
            <sz val="9"/>
            <color indexed="8"/>
            <rFont val="Tahoma"/>
            <family val="2"/>
          </rPr>
          <t>höhere Geschwindigkeit</t>
        </r>
      </text>
    </comment>
    <comment ref="F5" authorId="0">
      <text>
        <r>
          <rPr>
            <sz val="8"/>
            <color indexed="8"/>
            <rFont val="Tahoma"/>
            <family val="2"/>
          </rPr>
          <t>richtig gut gefühlt, hätte gern noch was rangehängt</t>
        </r>
      </text>
    </comment>
    <comment ref="F6" authorId="0">
      <text>
        <r>
          <rPr>
            <sz val="8"/>
            <color indexed="8"/>
            <rFont val="Tahoma"/>
            <family val="2"/>
          </rPr>
          <t>normal gefühlt</t>
        </r>
      </text>
    </comment>
    <comment ref="D3" authorId="0">
      <text>
        <r>
          <rPr>
            <sz val="9"/>
            <color indexed="8"/>
            <rFont val="Tahoma"/>
            <family val="2"/>
          </rPr>
          <t xml:space="preserve">Training mit Aufgabenteil im Bereich der
</t>
        </r>
        <r>
          <rPr>
            <b/>
            <sz val="9"/>
            <color indexed="8"/>
            <rFont val="Tahoma"/>
            <family val="2"/>
          </rPr>
          <t xml:space="preserve">Wettkampfspezifische Ausdauer
</t>
        </r>
      </text>
    </comment>
    <comment ref="F7" authorId="0">
      <text>
        <r>
          <rPr>
            <sz val="8"/>
            <color indexed="8"/>
            <rFont val="Tahoma"/>
            <family val="2"/>
          </rPr>
          <t>nicht so gut gefühlt, war froh, dass es vorbei war ... Entlastungstag (E) sollte folgen</t>
        </r>
      </text>
    </comment>
  </commentList>
</comments>
</file>

<file path=xl/comments4.xml><?xml version="1.0" encoding="utf-8"?>
<comments xmlns="http://schemas.openxmlformats.org/spreadsheetml/2006/main">
  <authors>
    <author/>
  </authors>
  <commentList>
    <comment ref="B3" authorId="0">
      <text>
        <r>
          <rPr>
            <sz val="9"/>
            <color indexed="8"/>
            <rFont val="Tahoma"/>
            <family val="2"/>
          </rPr>
          <t xml:space="preserve">Training im Bereich der
</t>
        </r>
        <r>
          <rPr>
            <b/>
            <sz val="9"/>
            <color indexed="8"/>
            <rFont val="Tahoma"/>
            <family val="2"/>
          </rPr>
          <t xml:space="preserve">Grundlagenausdauer 1:
</t>
        </r>
        <r>
          <rPr>
            <sz val="9"/>
            <color indexed="8"/>
            <rFont val="Tahoma"/>
            <family val="2"/>
          </rPr>
          <t>Verbesserung der lokalen Muskelausdauer</t>
        </r>
      </text>
    </comment>
    <comment ref="C3" authorId="0">
      <text>
        <r>
          <rPr>
            <sz val="9"/>
            <color indexed="8"/>
            <rFont val="Tahoma"/>
            <family val="2"/>
          </rPr>
          <t xml:space="preserve">Training mit Hauptteil im Bereich der 
</t>
        </r>
        <r>
          <rPr>
            <b/>
            <sz val="9"/>
            <color indexed="8"/>
            <rFont val="Tahoma"/>
            <family val="2"/>
          </rPr>
          <t>Grundlagenausdauer 2</t>
        </r>
        <r>
          <rPr>
            <sz val="9"/>
            <color indexed="8"/>
            <rFont val="Tahoma"/>
            <family val="2"/>
          </rPr>
          <t xml:space="preserve">: 
</t>
        </r>
        <r>
          <rPr>
            <b/>
            <sz val="9"/>
            <color indexed="8"/>
            <rFont val="Tahoma"/>
            <family val="2"/>
          </rPr>
          <t xml:space="preserve">             </t>
        </r>
        <r>
          <rPr>
            <sz val="9"/>
            <color indexed="8"/>
            <rFont val="Tahoma"/>
            <family val="2"/>
          </rPr>
          <t>höhere Geschwindigkeit</t>
        </r>
      </text>
    </comment>
    <comment ref="F5" authorId="0">
      <text>
        <r>
          <rPr>
            <sz val="8"/>
            <color indexed="8"/>
            <rFont val="Tahoma"/>
            <family val="2"/>
          </rPr>
          <t>richtig gut gefühlt, hätte gern noch was rangehängt</t>
        </r>
      </text>
    </comment>
    <comment ref="F6" authorId="0">
      <text>
        <r>
          <rPr>
            <sz val="8"/>
            <color indexed="8"/>
            <rFont val="Tahoma"/>
            <family val="2"/>
          </rPr>
          <t>normal gefühlt</t>
        </r>
      </text>
    </comment>
    <comment ref="D3" authorId="0">
      <text>
        <r>
          <rPr>
            <sz val="9"/>
            <color indexed="8"/>
            <rFont val="Tahoma"/>
            <family val="2"/>
          </rPr>
          <t xml:space="preserve">Training mit Aufgabenteil im Bereich der
</t>
        </r>
        <r>
          <rPr>
            <b/>
            <sz val="9"/>
            <color indexed="8"/>
            <rFont val="Tahoma"/>
            <family val="2"/>
          </rPr>
          <t xml:space="preserve">Wettkampfspezifische Ausdauer
</t>
        </r>
      </text>
    </comment>
    <comment ref="F7" authorId="0">
      <text>
        <r>
          <rPr>
            <sz val="8"/>
            <color indexed="8"/>
            <rFont val="Tahoma"/>
            <family val="2"/>
          </rPr>
          <t>nicht so gut gefühlt, war froh, dass es vorbei war ... Entlastungstag (E) sollte folgen</t>
        </r>
      </text>
    </comment>
  </commentList>
</comments>
</file>

<file path=xl/comments5.xml><?xml version="1.0" encoding="utf-8"?>
<comments xmlns="http://schemas.openxmlformats.org/spreadsheetml/2006/main">
  <authors>
    <author/>
  </authors>
  <commentList>
    <comment ref="B3" authorId="0">
      <text>
        <r>
          <rPr>
            <sz val="9"/>
            <color indexed="8"/>
            <rFont val="Tahoma"/>
            <family val="2"/>
          </rPr>
          <t xml:space="preserve">Training im Bereich der
</t>
        </r>
        <r>
          <rPr>
            <b/>
            <sz val="9"/>
            <color indexed="8"/>
            <rFont val="Tahoma"/>
            <family val="2"/>
          </rPr>
          <t xml:space="preserve">Grundlagenausdauer 1:
</t>
        </r>
        <r>
          <rPr>
            <sz val="9"/>
            <color indexed="8"/>
            <rFont val="Tahoma"/>
            <family val="2"/>
          </rPr>
          <t>Verbesserung der lokalen Muskelausdauer</t>
        </r>
      </text>
    </comment>
    <comment ref="C3" authorId="0">
      <text>
        <r>
          <rPr>
            <sz val="9"/>
            <color indexed="8"/>
            <rFont val="Tahoma"/>
            <family val="2"/>
          </rPr>
          <t xml:space="preserve">Training mit Hauptteil im Bereich der 
</t>
        </r>
        <r>
          <rPr>
            <b/>
            <sz val="9"/>
            <color indexed="8"/>
            <rFont val="Tahoma"/>
            <family val="2"/>
          </rPr>
          <t>Grundlagenausdauer 2</t>
        </r>
        <r>
          <rPr>
            <sz val="9"/>
            <color indexed="8"/>
            <rFont val="Tahoma"/>
            <family val="2"/>
          </rPr>
          <t xml:space="preserve">: 
</t>
        </r>
        <r>
          <rPr>
            <b/>
            <sz val="9"/>
            <color indexed="8"/>
            <rFont val="Tahoma"/>
            <family val="2"/>
          </rPr>
          <t xml:space="preserve">             </t>
        </r>
        <r>
          <rPr>
            <sz val="9"/>
            <color indexed="8"/>
            <rFont val="Tahoma"/>
            <family val="2"/>
          </rPr>
          <t>höhere Geschwindigkeit</t>
        </r>
      </text>
    </comment>
    <comment ref="F5" authorId="0">
      <text>
        <r>
          <rPr>
            <sz val="8"/>
            <color indexed="8"/>
            <rFont val="Tahoma"/>
            <family val="2"/>
          </rPr>
          <t>richtig gut gefühlt, hätte gern noch was rangehängt</t>
        </r>
      </text>
    </comment>
    <comment ref="F6" authorId="0">
      <text>
        <r>
          <rPr>
            <sz val="8"/>
            <color indexed="8"/>
            <rFont val="Tahoma"/>
            <family val="2"/>
          </rPr>
          <t>normal gefühlt</t>
        </r>
      </text>
    </comment>
    <comment ref="D3" authorId="0">
      <text>
        <r>
          <rPr>
            <sz val="9"/>
            <color indexed="8"/>
            <rFont val="Tahoma"/>
            <family val="2"/>
          </rPr>
          <t xml:space="preserve">Training mit Aufgabenteil im Bereich der
</t>
        </r>
        <r>
          <rPr>
            <b/>
            <sz val="9"/>
            <color indexed="8"/>
            <rFont val="Tahoma"/>
            <family val="2"/>
          </rPr>
          <t xml:space="preserve">Wettkampfspezifische Ausdauer
</t>
        </r>
      </text>
    </comment>
    <comment ref="F7" authorId="0">
      <text>
        <r>
          <rPr>
            <sz val="8"/>
            <color indexed="8"/>
            <rFont val="Tahoma"/>
            <family val="2"/>
          </rPr>
          <t>nicht so gut gefühlt, war froh, dass es vorbei war ... Entlastungstag (E) sollte folgen</t>
        </r>
      </text>
    </comment>
  </commentList>
</comments>
</file>

<file path=xl/comments6.xml><?xml version="1.0" encoding="utf-8"?>
<comments xmlns="http://schemas.openxmlformats.org/spreadsheetml/2006/main">
  <authors>
    <author/>
  </authors>
  <commentList>
    <comment ref="B3" authorId="0">
      <text>
        <r>
          <rPr>
            <sz val="9"/>
            <color indexed="8"/>
            <rFont val="Tahoma"/>
            <family val="2"/>
          </rPr>
          <t xml:space="preserve">Training im Bereich der
</t>
        </r>
        <r>
          <rPr>
            <b/>
            <sz val="9"/>
            <color indexed="8"/>
            <rFont val="Tahoma"/>
            <family val="2"/>
          </rPr>
          <t xml:space="preserve">Grundlagenausdauer 1:
</t>
        </r>
        <r>
          <rPr>
            <sz val="9"/>
            <color indexed="8"/>
            <rFont val="Tahoma"/>
            <family val="2"/>
          </rPr>
          <t>Verbesserung der lokalen Muskelausdauer</t>
        </r>
      </text>
    </comment>
    <comment ref="C3" authorId="0">
      <text>
        <r>
          <rPr>
            <sz val="9"/>
            <color indexed="8"/>
            <rFont val="Tahoma"/>
            <family val="2"/>
          </rPr>
          <t xml:space="preserve">Training mit Hauptteil im Bereich der 
</t>
        </r>
        <r>
          <rPr>
            <b/>
            <sz val="9"/>
            <color indexed="8"/>
            <rFont val="Tahoma"/>
            <family val="2"/>
          </rPr>
          <t>Grundlagenausdauer 2</t>
        </r>
        <r>
          <rPr>
            <sz val="9"/>
            <color indexed="8"/>
            <rFont val="Tahoma"/>
            <family val="2"/>
          </rPr>
          <t xml:space="preserve">: 
</t>
        </r>
        <r>
          <rPr>
            <b/>
            <sz val="9"/>
            <color indexed="8"/>
            <rFont val="Tahoma"/>
            <family val="2"/>
          </rPr>
          <t xml:space="preserve">             </t>
        </r>
        <r>
          <rPr>
            <sz val="9"/>
            <color indexed="8"/>
            <rFont val="Tahoma"/>
            <family val="2"/>
          </rPr>
          <t>höhere Geschwindigkeit</t>
        </r>
      </text>
    </comment>
    <comment ref="D3" authorId="0">
      <text>
        <r>
          <rPr>
            <sz val="9"/>
            <color indexed="8"/>
            <rFont val="Tahoma"/>
            <family val="2"/>
          </rPr>
          <t xml:space="preserve">Training mit Aufgabenteil im Bereich der
</t>
        </r>
        <r>
          <rPr>
            <b/>
            <sz val="9"/>
            <color indexed="8"/>
            <rFont val="Tahoma"/>
            <family val="2"/>
          </rPr>
          <t xml:space="preserve">Wettkampfspezifische Ausdauer
</t>
        </r>
      </text>
    </comment>
    <comment ref="F5" authorId="0">
      <text>
        <r>
          <rPr>
            <sz val="8"/>
            <color indexed="8"/>
            <rFont val="Tahoma"/>
            <family val="2"/>
          </rPr>
          <t>richtig gut gefühlt, hätte gern noch was rangehängt</t>
        </r>
      </text>
    </comment>
    <comment ref="F6" authorId="0">
      <text>
        <r>
          <rPr>
            <sz val="8"/>
            <color indexed="8"/>
            <rFont val="Tahoma"/>
            <family val="2"/>
          </rPr>
          <t>normal gefühlt</t>
        </r>
      </text>
    </comment>
    <comment ref="F7" authorId="0">
      <text>
        <r>
          <rPr>
            <sz val="8"/>
            <color indexed="8"/>
            <rFont val="Tahoma"/>
            <family val="2"/>
          </rPr>
          <t>nicht so gut gefühlt, war froh, dass es vorbei war ... Entlastungstag (E) sollte folgen</t>
        </r>
      </text>
    </comment>
  </commentList>
</comments>
</file>

<file path=xl/comments7.xml><?xml version="1.0" encoding="utf-8"?>
<comments xmlns="http://schemas.openxmlformats.org/spreadsheetml/2006/main">
  <authors>
    <author/>
    <author>netz</author>
  </authors>
  <commentList>
    <comment ref="C67" authorId="0">
      <text>
        <r>
          <rPr>
            <sz val="8"/>
            <color indexed="8"/>
            <rFont val="Tahoma"/>
            <family val="2"/>
          </rPr>
          <t>Die Routine durchbrechen, was Neues ausprobieren!
Monotonität ist der größte Leistungskiller.</t>
        </r>
      </text>
    </comment>
    <comment ref="I67" authorId="0">
      <text>
        <r>
          <rPr>
            <sz val="8"/>
            <color indexed="8"/>
            <rFont val="Tahoma"/>
            <family val="2"/>
          </rPr>
          <t xml:space="preserve">2:1 Tagesrhythmus
</t>
        </r>
        <r>
          <rPr>
            <sz val="8"/>
            <color indexed="22"/>
            <rFont val="Tahoma"/>
            <family val="2"/>
          </rPr>
          <t>Fr
1,5 km     GA1</t>
        </r>
      </text>
    </comment>
    <comment ref="K67" authorId="0">
      <text>
        <r>
          <rPr>
            <sz val="8"/>
            <color indexed="8"/>
            <rFont val="Tahoma"/>
            <family val="2"/>
          </rPr>
          <t xml:space="preserve">2:1 Tagesrhythmus 
</t>
        </r>
        <r>
          <rPr>
            <sz val="8"/>
            <color indexed="22"/>
            <rFont val="Tahoma"/>
            <family val="2"/>
          </rPr>
          <t>So
20 km / 40 km  GA1</t>
        </r>
      </text>
    </comment>
    <comment ref="M67" authorId="0">
      <text>
        <r>
          <rPr>
            <sz val="8"/>
            <color indexed="8"/>
            <rFont val="Tahoma"/>
            <family val="2"/>
          </rPr>
          <t xml:space="preserve">2:1 Tagesrhythmus
</t>
        </r>
        <r>
          <rPr>
            <sz val="8"/>
            <color indexed="22"/>
            <rFont val="Tahoma"/>
            <family val="2"/>
          </rPr>
          <t xml:space="preserve"> Mi</t>
        </r>
        <r>
          <rPr>
            <sz val="8"/>
            <color indexed="8"/>
            <rFont val="Tahoma"/>
            <family val="2"/>
          </rPr>
          <t xml:space="preserve">     </t>
        </r>
        <r>
          <rPr>
            <sz val="8"/>
            <color indexed="22"/>
            <rFont val="Tahoma"/>
            <family val="2"/>
          </rPr>
          <t xml:space="preserve">Sa oder So
3km    6 km   GA1  </t>
        </r>
      </text>
    </comment>
    <comment ref="Y68" authorId="0">
      <text>
        <r>
          <rPr>
            <sz val="8"/>
            <color indexed="8"/>
            <rFont val="Tahoma"/>
            <family val="2"/>
          </rPr>
          <t>Die Routine durchbrechen, was Neues ausprobieren!
Monotonität ist der größte Leistungskiller.</t>
        </r>
      </text>
    </comment>
    <comment ref="I69" authorId="0">
      <text>
        <r>
          <rPr>
            <sz val="8"/>
            <color indexed="8"/>
            <rFont val="Tahoma"/>
            <family val="2"/>
          </rPr>
          <t xml:space="preserve">  3:1 Tagesrhythmus
(Technik+Sprints, Ausdauer, Intervalle/Platten)
Ø-Wochenumfänge </t>
        </r>
        <r>
          <rPr>
            <b/>
            <sz val="8"/>
            <color indexed="8"/>
            <rFont val="Tahoma"/>
            <family val="2"/>
          </rPr>
          <t xml:space="preserve">Fr 
</t>
        </r>
        <r>
          <rPr>
            <sz val="8"/>
            <color indexed="8"/>
            <rFont val="Tahoma"/>
            <family val="2"/>
          </rPr>
          <t xml:space="preserve">  Nov          Dez
 2,0 km     2,5 km
 </t>
        </r>
        <r>
          <rPr>
            <sz val="8"/>
            <color indexed="22"/>
            <rFont val="Tahoma"/>
            <family val="2"/>
          </rPr>
          <t xml:space="preserve">1,5 km     1,5 km
</t>
        </r>
        <r>
          <rPr>
            <sz val="8"/>
            <color indexed="8"/>
            <rFont val="Tahoma"/>
            <family val="2"/>
          </rPr>
          <t xml:space="preserve"> 2,5 km</t>
        </r>
        <r>
          <rPr>
            <b/>
            <sz val="8"/>
            <color indexed="8"/>
            <rFont val="Tahoma"/>
            <family val="2"/>
          </rPr>
          <t xml:space="preserve">  </t>
        </r>
        <r>
          <rPr>
            <sz val="8"/>
            <color indexed="8"/>
            <rFont val="Tahoma"/>
            <family val="2"/>
          </rPr>
          <t xml:space="preserve">   3,0 km
</t>
        </r>
        <r>
          <rPr>
            <b/>
            <sz val="8"/>
            <color indexed="8"/>
            <rFont val="Tahoma"/>
            <family val="2"/>
          </rPr>
          <t xml:space="preserve">3,5 km   4,5 km
</t>
        </r>
        <r>
          <rPr>
            <sz val="8"/>
            <color indexed="8"/>
            <rFont val="Tahoma"/>
            <family val="2"/>
          </rPr>
          <t xml:space="preserve">
</t>
        </r>
        <r>
          <rPr>
            <b/>
            <sz val="8"/>
            <color indexed="8"/>
            <rFont val="Tahoma"/>
            <family val="2"/>
          </rPr>
          <t xml:space="preserve">Jan-Feb </t>
        </r>
        <r>
          <rPr>
            <sz val="8"/>
            <color indexed="8"/>
            <rFont val="Tahoma"/>
            <family val="2"/>
          </rPr>
          <t>Ø</t>
        </r>
        <r>
          <rPr>
            <b/>
            <sz val="8"/>
            <color indexed="8"/>
            <rFont val="Tahoma"/>
            <family val="2"/>
          </rPr>
          <t xml:space="preserve"> 5 km</t>
        </r>
        <r>
          <rPr>
            <sz val="8"/>
            <color indexed="8"/>
            <rFont val="Tahoma"/>
            <family val="2"/>
          </rPr>
          <t xml:space="preserve">/Fr </t>
        </r>
        <r>
          <rPr>
            <b/>
            <sz val="8"/>
            <color indexed="8"/>
            <rFont val="Tahoma"/>
            <family val="2"/>
          </rPr>
          <t xml:space="preserve"> </t>
        </r>
      </text>
    </comment>
    <comment ref="K69" authorId="0">
      <text>
        <r>
          <rPr>
            <sz val="8"/>
            <color indexed="8"/>
            <rFont val="Tahoma"/>
            <family val="2"/>
          </rPr>
          <t xml:space="preserve">        3:1 Tagesrhythmus
(Ausdauer, Intervalle, Berg)
Ø-Wochenumfänge, einschl. MTB / Rolle / Spinning
  Nov          Dez         Jan          Feb
 25 km       25 km     35 km      45 km
 </t>
        </r>
        <r>
          <rPr>
            <sz val="8"/>
            <color indexed="22"/>
            <rFont val="Tahoma"/>
            <family val="2"/>
          </rPr>
          <t xml:space="preserve">20 km       20 km     20 km      20 km
</t>
        </r>
        <r>
          <rPr>
            <sz val="8"/>
            <color indexed="8"/>
            <rFont val="Tahoma"/>
            <family val="2"/>
          </rPr>
          <t xml:space="preserve"> 25 km       35 km     45 km      50 km
</t>
        </r>
        <r>
          <rPr>
            <b/>
            <sz val="8"/>
            <color indexed="8"/>
            <rFont val="Tahoma"/>
            <family val="2"/>
          </rPr>
          <t xml:space="preserve">30 km    40 km   50 km    60 km
</t>
        </r>
        <r>
          <rPr>
            <sz val="8"/>
            <color indexed="8"/>
            <rFont val="Tahoma"/>
            <family val="2"/>
          </rPr>
          <t xml:space="preserve">
  </t>
        </r>
        <r>
          <rPr>
            <b/>
            <sz val="8"/>
            <color indexed="8"/>
            <rFont val="Tahoma"/>
            <family val="2"/>
          </rPr>
          <t>März</t>
        </r>
        <r>
          <rPr>
            <sz val="8"/>
            <color indexed="8"/>
            <rFont val="Tahoma"/>
            <family val="2"/>
          </rPr>
          <t xml:space="preserve">           </t>
        </r>
        <r>
          <rPr>
            <b/>
            <sz val="8"/>
            <color indexed="8"/>
            <rFont val="Tahoma"/>
            <family val="2"/>
          </rPr>
          <t xml:space="preserve">April
</t>
        </r>
        <r>
          <rPr>
            <sz val="8"/>
            <color indexed="8"/>
            <rFont val="Tahoma"/>
            <family val="2"/>
          </rPr>
          <t xml:space="preserve">   50 km         130 km
   </t>
        </r>
        <r>
          <rPr>
            <sz val="8"/>
            <color indexed="22"/>
            <rFont val="Tahoma"/>
            <family val="2"/>
          </rPr>
          <t xml:space="preserve">40 km           40 km
</t>
        </r>
        <r>
          <rPr>
            <sz val="8"/>
            <color indexed="8"/>
            <rFont val="Tahoma"/>
            <family val="2"/>
          </rPr>
          <t xml:space="preserve">1 00 km         170 km
</t>
        </r>
        <r>
          <rPr>
            <b/>
            <sz val="8"/>
            <color indexed="8"/>
            <rFont val="Tahoma"/>
            <family val="2"/>
          </rPr>
          <t xml:space="preserve">160 km      210 km </t>
        </r>
      </text>
    </comment>
    <comment ref="M69" authorId="0">
      <text>
        <r>
          <rPr>
            <sz val="8"/>
            <color indexed="8"/>
            <rFont val="Tahoma"/>
            <family val="2"/>
          </rPr>
          <t xml:space="preserve">        3:1 Tagesrhythmus
(Ausdauer, ABC+Tempo, Intervalle/Berg)
Ø-Wochenumfänge
 Nov            Dez
 10 km        15 km
   </t>
        </r>
        <r>
          <rPr>
            <sz val="8"/>
            <color indexed="22"/>
            <rFont val="Tahoma"/>
            <family val="2"/>
          </rPr>
          <t xml:space="preserve">6 km          6 km
</t>
        </r>
        <r>
          <rPr>
            <sz val="8"/>
            <color indexed="8"/>
            <rFont val="Tahoma"/>
            <family val="2"/>
          </rPr>
          <t xml:space="preserve"> 15 km        30 km
</t>
        </r>
        <r>
          <rPr>
            <b/>
            <sz val="8"/>
            <color indexed="8"/>
            <rFont val="Tahoma"/>
            <family val="2"/>
          </rPr>
          <t xml:space="preserve">20 km      40 km
</t>
        </r>
        <r>
          <rPr>
            <sz val="8"/>
            <color indexed="8"/>
            <rFont val="Tahoma"/>
            <family val="2"/>
          </rPr>
          <t xml:space="preserve">
</t>
        </r>
        <r>
          <rPr>
            <b/>
            <sz val="8"/>
            <color indexed="8"/>
            <rFont val="Tahoma"/>
            <family val="2"/>
          </rPr>
          <t xml:space="preserve">Jan-März </t>
        </r>
        <r>
          <rPr>
            <sz val="8"/>
            <color indexed="8"/>
            <rFont val="Tahoma"/>
            <family val="2"/>
          </rPr>
          <t>Ø</t>
        </r>
        <r>
          <rPr>
            <b/>
            <sz val="8"/>
            <color indexed="8"/>
            <rFont val="Tahoma"/>
            <family val="2"/>
          </rPr>
          <t xml:space="preserve"> 50 km</t>
        </r>
        <r>
          <rPr>
            <sz val="8"/>
            <color indexed="8"/>
            <rFont val="Tahoma"/>
            <family val="2"/>
          </rPr>
          <t>/Wo</t>
        </r>
      </text>
    </comment>
    <comment ref="G72" authorId="0">
      <text>
        <r>
          <rPr>
            <sz val="8"/>
            <color indexed="8"/>
            <rFont val="Tahoma"/>
            <family val="2"/>
          </rPr>
          <t xml:space="preserve">Training im Bereich der
</t>
        </r>
        <r>
          <rPr>
            <b/>
            <sz val="8"/>
            <color indexed="8"/>
            <rFont val="Tahoma"/>
            <family val="2"/>
          </rPr>
          <t xml:space="preserve">Grundlagenausdauer 1:
</t>
        </r>
        <r>
          <rPr>
            <sz val="8"/>
            <color indexed="8"/>
            <rFont val="Tahoma"/>
            <family val="2"/>
          </rPr>
          <t>Verbesserung der lokalen Muskelausdauer</t>
        </r>
      </text>
    </comment>
    <comment ref="H74" authorId="0">
      <text>
        <r>
          <rPr>
            <sz val="9"/>
            <color indexed="8"/>
            <rFont val="Tahoma"/>
            <family val="2"/>
          </rPr>
          <t>Strecke in km einfügen</t>
        </r>
      </text>
    </comment>
    <comment ref="J74" authorId="0">
      <text>
        <r>
          <rPr>
            <sz val="9"/>
            <color indexed="8"/>
            <rFont val="Tahoma"/>
            <family val="2"/>
          </rPr>
          <t>Strecke in km einfügen</t>
        </r>
      </text>
    </comment>
    <comment ref="L74" authorId="0">
      <text>
        <r>
          <rPr>
            <sz val="9"/>
            <color indexed="8"/>
            <rFont val="Tahoma"/>
            <family val="2"/>
          </rPr>
          <t>Strecke in km einfügen</t>
        </r>
      </text>
    </comment>
    <comment ref="G76" authorId="0">
      <text>
        <r>
          <rPr>
            <sz val="8"/>
            <color indexed="8"/>
            <rFont val="Tahoma"/>
            <family val="2"/>
          </rPr>
          <t xml:space="preserve">Training mit Aufgabenteil im Bereich der 
</t>
        </r>
        <r>
          <rPr>
            <b/>
            <sz val="8"/>
            <color indexed="8"/>
            <rFont val="Tahoma"/>
            <family val="2"/>
          </rPr>
          <t>Grundlagenausdauer 2</t>
        </r>
        <r>
          <rPr>
            <sz val="8"/>
            <color indexed="8"/>
            <rFont val="Tahoma"/>
            <family val="2"/>
          </rPr>
          <t xml:space="preserve">: 
</t>
        </r>
        <r>
          <rPr>
            <b/>
            <sz val="8"/>
            <color indexed="8"/>
            <rFont val="Tahoma"/>
            <family val="2"/>
          </rPr>
          <t xml:space="preserve">             </t>
        </r>
        <r>
          <rPr>
            <sz val="8"/>
            <color indexed="8"/>
            <rFont val="Tahoma"/>
            <family val="2"/>
          </rPr>
          <t>höhere Geschwindigkeit</t>
        </r>
      </text>
    </comment>
    <comment ref="G80" authorId="0">
      <text>
        <r>
          <rPr>
            <sz val="8"/>
            <color indexed="8"/>
            <rFont val="Tahoma"/>
            <family val="2"/>
          </rPr>
          <t xml:space="preserve">Training mit Aufgabenteil im Bereich der
</t>
        </r>
        <r>
          <rPr>
            <b/>
            <sz val="8"/>
            <color indexed="8"/>
            <rFont val="Tahoma"/>
            <family val="2"/>
          </rPr>
          <t xml:space="preserve">Wettkampfspezifische Ausdauer
</t>
        </r>
      </text>
    </comment>
    <comment ref="J3" authorId="1">
      <text>
        <r>
          <rPr>
            <sz val="9"/>
            <rFont val="Tahoma"/>
            <family val="2"/>
          </rPr>
          <t>hier aktuelles Datum einfügen</t>
        </r>
      </text>
    </comment>
    <comment ref="F67" authorId="1">
      <text>
        <r>
          <rPr>
            <sz val="9"/>
            <rFont val="Tahoma"/>
            <family val="2"/>
          </rPr>
          <t>Vollmondphase</t>
        </r>
      </text>
    </comment>
    <comment ref="F69" authorId="1">
      <text>
        <r>
          <rPr>
            <sz val="9"/>
            <rFont val="Tahoma"/>
            <family val="2"/>
          </rPr>
          <t>Neumondphase</t>
        </r>
      </text>
    </comment>
  </commentList>
</comments>
</file>

<file path=xl/comments8.xml><?xml version="1.0" encoding="utf-8"?>
<comments xmlns="http://schemas.openxmlformats.org/spreadsheetml/2006/main">
  <authors>
    <author>Nu?-Bousso</author>
    <author>netz</author>
    <author>argocd</author>
  </authors>
  <commentList>
    <comment ref="B3" authorId="0">
      <text>
        <r>
          <rPr>
            <sz val="8"/>
            <rFont val="Tahoma"/>
            <family val="2"/>
          </rPr>
          <t xml:space="preserve">Am Tag des Hauptwettkampfes soll die Leistungsfähigkeit 1,00 gegeben sein, deswegen
hier </t>
        </r>
        <r>
          <rPr>
            <b/>
            <sz val="8"/>
            <rFont val="Tahoma"/>
            <family val="2"/>
          </rPr>
          <t>Datum</t>
        </r>
        <r>
          <rPr>
            <sz val="8"/>
            <rFont val="Tahoma"/>
            <family val="2"/>
          </rPr>
          <t xml:space="preserve"> des Trainingsstarts + 3 Tage </t>
        </r>
        <r>
          <rPr>
            <b/>
            <sz val="8"/>
            <rFont val="Tahoma"/>
            <family val="2"/>
          </rPr>
          <t>eingeben</t>
        </r>
        <r>
          <rPr>
            <sz val="8"/>
            <rFont val="Tahoma"/>
            <family val="2"/>
          </rPr>
          <t>.</t>
        </r>
      </text>
    </comment>
    <comment ref="B4" authorId="1">
      <text>
        <r>
          <rPr>
            <sz val="9"/>
            <rFont val="Tahoma"/>
            <family val="2"/>
          </rPr>
          <t xml:space="preserve">Trainingsstart = HEUTE() + </t>
        </r>
        <r>
          <rPr>
            <b/>
            <sz val="9"/>
            <rFont val="Tahoma"/>
            <family val="2"/>
          </rPr>
          <t xml:space="preserve">x </t>
        </r>
        <r>
          <rPr>
            <sz val="9"/>
            <rFont val="Tahoma"/>
            <family val="2"/>
          </rPr>
          <t>Tage bis zum Trainingsstart</t>
        </r>
        <r>
          <rPr>
            <b/>
            <sz val="9"/>
            <rFont val="Tahoma"/>
            <family val="2"/>
          </rPr>
          <t xml:space="preserve"> eingeben</t>
        </r>
        <r>
          <rPr>
            <sz val="9"/>
            <rFont val="Tahoma"/>
            <family val="2"/>
          </rPr>
          <t>. 
Dann in B3 Trainingsstartdatum + 3 Tage eingeben.
Anschließend überprüfen, ob der HW-Tag im Hoch (1,00) liegt, wenn nicht, muss x und das Datum in B3 entsprechend verändert werden.</t>
        </r>
      </text>
    </comment>
    <comment ref="A1" authorId="2">
      <text>
        <r>
          <rPr>
            <sz val="8"/>
            <rFont val="Tahoma"/>
            <family val="2"/>
          </rPr>
          <t>Datum des Hauptwettkampfes HW</t>
        </r>
      </text>
    </comment>
  </commentList>
</comments>
</file>

<file path=xl/sharedStrings.xml><?xml version="1.0" encoding="utf-8"?>
<sst xmlns="http://schemas.openxmlformats.org/spreadsheetml/2006/main" count="1467" uniqueCount="349">
  <si>
    <t>GA1</t>
  </si>
  <si>
    <t>GA2</t>
  </si>
  <si>
    <t>WSA</t>
  </si>
  <si>
    <t>Schwimmen</t>
  </si>
  <si>
    <t>Radfahren</t>
  </si>
  <si>
    <t>Laufen</t>
  </si>
  <si>
    <t>Sonstiges</t>
  </si>
  <si>
    <t>:)</t>
  </si>
  <si>
    <t>gesamt - km</t>
  </si>
  <si>
    <t>:I</t>
  </si>
  <si>
    <t>:(</t>
  </si>
  <si>
    <t>Bemerkung:</t>
  </si>
  <si>
    <t>Nov.</t>
  </si>
  <si>
    <r>
      <t xml:space="preserve">Friedrichshain </t>
    </r>
    <r>
      <rPr>
        <b/>
        <sz val="8"/>
        <color indexed="10"/>
        <rFont val="Arial"/>
        <family val="2"/>
      </rPr>
      <t xml:space="preserve">  </t>
    </r>
    <r>
      <rPr>
        <sz val="8"/>
        <rFont val="Arial"/>
        <family val="2"/>
      </rPr>
      <t xml:space="preserve">   </t>
    </r>
  </si>
  <si>
    <t>Massage</t>
  </si>
  <si>
    <t>Sauna</t>
  </si>
  <si>
    <t>Dez.</t>
  </si>
  <si>
    <t>Bemerkung</t>
  </si>
  <si>
    <t>Jan.</t>
  </si>
  <si>
    <t>Feb.</t>
  </si>
  <si>
    <r>
      <t xml:space="preserve">Trainingsprotokoll: </t>
    </r>
    <r>
      <rPr>
        <b/>
        <sz val="11"/>
        <rFont val="Verdana"/>
        <family val="2"/>
      </rPr>
      <t>März - April</t>
    </r>
  </si>
  <si>
    <t>noch</t>
  </si>
  <si>
    <t>März</t>
  </si>
  <si>
    <t>April</t>
  </si>
  <si>
    <r>
      <t xml:space="preserve">Trainingsprotokoll: </t>
    </r>
    <r>
      <rPr>
        <b/>
        <sz val="11"/>
        <rFont val="Verdana"/>
        <family val="2"/>
      </rPr>
      <t>Mai - Juni</t>
    </r>
  </si>
  <si>
    <t>Mai</t>
  </si>
  <si>
    <t>Juni</t>
  </si>
  <si>
    <r>
      <t xml:space="preserve">Trainingsprotokoll: </t>
    </r>
    <r>
      <rPr>
        <b/>
        <sz val="11"/>
        <rFont val="Verdana"/>
        <family val="2"/>
      </rPr>
      <t>Juli - Aug.</t>
    </r>
  </si>
  <si>
    <t>Juli</t>
  </si>
  <si>
    <t>Aug.</t>
  </si>
  <si>
    <r>
      <t xml:space="preserve">Trainingsprotokoll: </t>
    </r>
    <r>
      <rPr>
        <b/>
        <sz val="11"/>
        <rFont val="Verdana"/>
        <family val="2"/>
      </rPr>
      <t>Sept. - Okt.</t>
    </r>
  </si>
  <si>
    <t>Sept.</t>
  </si>
  <si>
    <t xml:space="preserve">      &gt; </t>
  </si>
  <si>
    <t>Okt.</t>
  </si>
  <si>
    <t>Heute:</t>
  </si>
  <si>
    <t>Nov-Dez-Ø</t>
  </si>
  <si>
    <t>km / Woche</t>
  </si>
  <si>
    <t>Jan-Feb-Ø</t>
  </si>
  <si>
    <t>März-April-Ø</t>
  </si>
  <si>
    <t>Mai-Juni-Ø</t>
  </si>
  <si>
    <t>Juli-Aug-Ø</t>
  </si>
  <si>
    <t>Sep-Okt-Ø</t>
  </si>
  <si>
    <t>Nov-Dez</t>
  </si>
  <si>
    <t>km</t>
  </si>
  <si>
    <t>Jan-Feb</t>
  </si>
  <si>
    <t>März-April</t>
  </si>
  <si>
    <t>Mai-Juni</t>
  </si>
  <si>
    <t>Juli-Aug</t>
  </si>
  <si>
    <t>Sep-Okt</t>
  </si>
  <si>
    <t>Summe:</t>
  </si>
  <si>
    <r>
      <t xml:space="preserve">Ein </t>
    </r>
    <r>
      <rPr>
        <b/>
        <sz val="10"/>
        <rFont val="Arial"/>
        <family val="2"/>
      </rPr>
      <t>Trainingstag</t>
    </r>
    <r>
      <rPr>
        <sz val="10"/>
        <rFont val="Arial"/>
        <family val="2"/>
      </rPr>
      <t xml:space="preserve"> von Jan Frodeno:</t>
    </r>
  </si>
  <si>
    <r>
      <t>7.30</t>
    </r>
    <r>
      <rPr>
        <sz val="10"/>
        <rFont val="Arial"/>
        <family val="2"/>
      </rPr>
      <t xml:space="preserve">   4 km </t>
    </r>
    <r>
      <rPr>
        <b/>
        <sz val="10"/>
        <rFont val="Arial"/>
        <family val="2"/>
      </rPr>
      <t>Schwimmen</t>
    </r>
  </si>
  <si>
    <t>Frühstück</t>
  </si>
  <si>
    <r>
      <t>9.00</t>
    </r>
    <r>
      <rPr>
        <sz val="10"/>
        <rFont val="Arial"/>
        <family val="2"/>
      </rPr>
      <t xml:space="preserve">           Massage</t>
    </r>
  </si>
  <si>
    <r>
      <t xml:space="preserve">      12 km lockerer </t>
    </r>
    <r>
      <rPr>
        <b/>
        <sz val="10"/>
        <rFont val="Arial"/>
        <family val="2"/>
      </rPr>
      <t>Lauf</t>
    </r>
  </si>
  <si>
    <t>Mittagessen</t>
  </si>
  <si>
    <t>Mittagsruhe</t>
  </si>
  <si>
    <r>
      <t xml:space="preserve">       80 km </t>
    </r>
    <r>
      <rPr>
        <b/>
        <sz val="10"/>
        <rFont val="Arial"/>
        <family val="2"/>
      </rPr>
      <t>Rad</t>
    </r>
    <r>
      <rPr>
        <sz val="10"/>
        <rFont val="Arial"/>
        <family val="2"/>
      </rPr>
      <t xml:space="preserve"> mittleres Tempo</t>
    </r>
  </si>
  <si>
    <r>
      <t xml:space="preserve">       8 x 1000 m </t>
    </r>
    <r>
      <rPr>
        <b/>
        <sz val="10"/>
        <rFont val="Arial"/>
        <family val="2"/>
      </rPr>
      <t>Lauf</t>
    </r>
    <r>
      <rPr>
        <sz val="10"/>
        <rFont val="Arial"/>
        <family val="2"/>
      </rPr>
      <t xml:space="preserve"> unter 3 min</t>
    </r>
  </si>
  <si>
    <t>Abendessen</t>
  </si>
  <si>
    <t>Ø</t>
  </si>
  <si>
    <t>Bestzeiten</t>
  </si>
  <si>
    <t>1500m</t>
  </si>
  <si>
    <t>40km</t>
  </si>
  <si>
    <t>10km</t>
  </si>
  <si>
    <t>Saisonziel</t>
  </si>
  <si>
    <t>Strecke</t>
  </si>
  <si>
    <t>Zeit</t>
  </si>
  <si>
    <t>Schnitt</t>
  </si>
  <si>
    <t>Olympische Distanz</t>
  </si>
  <si>
    <t>Ironman</t>
  </si>
  <si>
    <t xml:space="preserve">         km</t>
  </si>
  <si>
    <t xml:space="preserve">       h</t>
  </si>
  <si>
    <t xml:space="preserve">  min</t>
  </si>
  <si>
    <t xml:space="preserve">   sec</t>
  </si>
  <si>
    <t>swim</t>
  </si>
  <si>
    <t>100 m in:</t>
  </si>
  <si>
    <t>min</t>
  </si>
  <si>
    <t>1 km in:</t>
  </si>
  <si>
    <t>1,5 km in:</t>
  </si>
  <si>
    <t>h</t>
  </si>
  <si>
    <t xml:space="preserve"> 3,8 km in:</t>
  </si>
  <si>
    <t>bike</t>
  </si>
  <si>
    <t xml:space="preserve">      in 1 h: </t>
  </si>
  <si>
    <t xml:space="preserve"> 40 km in:</t>
  </si>
  <si>
    <t>180 km in:</t>
  </si>
  <si>
    <t>run</t>
  </si>
  <si>
    <t xml:space="preserve">   1 km in:</t>
  </si>
  <si>
    <t xml:space="preserve"> 10 km in:</t>
  </si>
  <si>
    <t xml:space="preserve">  42 km in:</t>
  </si>
  <si>
    <t xml:space="preserve">  Gesamt:</t>
  </si>
  <si>
    <t xml:space="preserve">   Gesamt:</t>
  </si>
  <si>
    <t>allgem. Kraft/Ausdauer, Technik u. Motorik;</t>
  </si>
  <si>
    <t xml:space="preserve">       2:1 dann 3:1-Rhythmus anschl. wellenförmige Erhöhung der Umfänge u. letztlich der Intensität</t>
  </si>
  <si>
    <t xml:space="preserve">       Koppeltraining</t>
  </si>
  <si>
    <t xml:space="preserve">     aktive Regeneration</t>
  </si>
  <si>
    <t>November</t>
  </si>
  <si>
    <t>Dezember</t>
  </si>
  <si>
    <t>Januar</t>
  </si>
  <si>
    <t>Februar</t>
  </si>
  <si>
    <t>August</t>
  </si>
  <si>
    <t>September</t>
  </si>
  <si>
    <t>Oktober</t>
  </si>
  <si>
    <t>hoch</t>
  </si>
  <si>
    <t>Rekom</t>
  </si>
  <si>
    <t>Belastung</t>
  </si>
  <si>
    <t>wenig</t>
  </si>
  <si>
    <t>Tag</t>
  </si>
  <si>
    <t>1.</t>
  </si>
  <si>
    <t>2.</t>
  </si>
  <si>
    <t>3.</t>
  </si>
  <si>
    <t>4.</t>
  </si>
  <si>
    <t>5.</t>
  </si>
  <si>
    <t>6.</t>
  </si>
  <si>
    <t>7.</t>
  </si>
  <si>
    <t>8.</t>
  </si>
  <si>
    <t>9.</t>
  </si>
  <si>
    <t>10.</t>
  </si>
  <si>
    <t>11.</t>
  </si>
  <si>
    <t>12.</t>
  </si>
  <si>
    <t>13.</t>
  </si>
  <si>
    <t>14.</t>
  </si>
  <si>
    <t>15.</t>
  </si>
  <si>
    <t>16.</t>
  </si>
  <si>
    <t>17.</t>
  </si>
  <si>
    <t>18.</t>
  </si>
  <si>
    <t>19.</t>
  </si>
  <si>
    <t>20.</t>
  </si>
  <si>
    <t>21.</t>
  </si>
  <si>
    <t>22.</t>
  </si>
  <si>
    <t>23.</t>
  </si>
  <si>
    <t>24.</t>
  </si>
  <si>
    <t xml:space="preserve">      Sich neuen Reizen</t>
  </si>
  <si>
    <t xml:space="preserve">     aussetzen!</t>
  </si>
  <si>
    <r>
      <t>bis   8 km/</t>
    </r>
    <r>
      <rPr>
        <b/>
        <sz val="10"/>
        <rFont val="Arial"/>
        <family val="2"/>
      </rPr>
      <t>Wo</t>
    </r>
  </si>
  <si>
    <r>
      <t>bis   40 km/</t>
    </r>
    <r>
      <rPr>
        <b/>
        <sz val="10"/>
        <rFont val="Arial"/>
        <family val="2"/>
      </rPr>
      <t>Wo</t>
    </r>
  </si>
  <si>
    <r>
      <t>bis 10 km/</t>
    </r>
    <r>
      <rPr>
        <b/>
        <sz val="10"/>
        <rFont val="Arial"/>
        <family val="2"/>
      </rPr>
      <t>Wo</t>
    </r>
  </si>
  <si>
    <t xml:space="preserve">     (ungewohnten Sportarten) </t>
  </si>
  <si>
    <t xml:space="preserve">  - Nordic/ -Walking u. -Running</t>
  </si>
  <si>
    <t xml:space="preserve"> aussetzen!</t>
  </si>
  <si>
    <t xml:space="preserve">  - Skilanglauf</t>
  </si>
  <si>
    <r>
      <t>bis 120 km/</t>
    </r>
    <r>
      <rPr>
        <b/>
        <sz val="10"/>
        <rFont val="Arial"/>
        <family val="2"/>
      </rPr>
      <t>Wo</t>
    </r>
  </si>
  <si>
    <r>
      <t>bis 50 km/</t>
    </r>
    <r>
      <rPr>
        <b/>
        <sz val="10"/>
        <rFont val="Arial"/>
        <family val="2"/>
      </rPr>
      <t>Wo</t>
    </r>
  </si>
  <si>
    <t xml:space="preserve">  - ...</t>
  </si>
  <si>
    <t>Ø 1:30</t>
  </si>
  <si>
    <t>Ø 34,3</t>
  </si>
  <si>
    <t>Ø 3:57</t>
  </si>
  <si>
    <t xml:space="preserve"> 2:12:00 h</t>
  </si>
  <si>
    <t>Schwimmen:</t>
  </si>
  <si>
    <t xml:space="preserve">      2:1 anschl. 3:1-Rhythmus</t>
  </si>
  <si>
    <t>bis 2,5</t>
  </si>
  <si>
    <t>bis 60</t>
  </si>
  <si>
    <t>bis 15</t>
  </si>
  <si>
    <t xml:space="preserve"> m</t>
  </si>
  <si>
    <t>Wechsel   +   3 min</t>
  </si>
  <si>
    <t xml:space="preserve">  - Technikschwimmen (Wassergefühl)</t>
  </si>
  <si>
    <t xml:space="preserve"> &gt;    1:35</t>
  </si>
  <si>
    <t xml:space="preserve">  &lt;   30 km/h</t>
  </si>
  <si>
    <t xml:space="preserve">  &gt;    4:15</t>
  </si>
  <si>
    <t>100       01:30</t>
  </si>
  <si>
    <t>400      01:35</t>
  </si>
  <si>
    <t xml:space="preserve">  - Zugseiltraining</t>
  </si>
  <si>
    <t xml:space="preserve"> &gt;    6:10</t>
  </si>
  <si>
    <t>400       06:00</t>
  </si>
  <si>
    <t>800      03:09</t>
  </si>
  <si>
    <t>Radfahren:</t>
  </si>
  <si>
    <t xml:space="preserve">  - MTB </t>
  </si>
  <si>
    <t>1          15:00</t>
  </si>
  <si>
    <t xml:space="preserve"> 1         01:45</t>
  </si>
  <si>
    <t xml:space="preserve"> 1         03:57</t>
  </si>
  <si>
    <t xml:space="preserve">  - Rolle / Spinning</t>
  </si>
  <si>
    <t xml:space="preserve"> Ø    1:25</t>
  </si>
  <si>
    <t xml:space="preserve">  Ø  36 km/h</t>
  </si>
  <si>
    <t>1,5       22:30</t>
  </si>
  <si>
    <t xml:space="preserve"> 2         03:30</t>
  </si>
  <si>
    <t xml:space="preserve"> 2         07:54</t>
  </si>
  <si>
    <t>Laufen:</t>
  </si>
  <si>
    <t xml:space="preserve"> Ø    5:50</t>
  </si>
  <si>
    <t xml:space="preserve"> Ø    2:55</t>
  </si>
  <si>
    <t xml:space="preserve"> 3         05:15</t>
  </si>
  <si>
    <t xml:space="preserve"> 3         11:51</t>
  </si>
  <si>
    <t xml:space="preserve">  - Lauf-ABC</t>
  </si>
  <si>
    <t xml:space="preserve"> 4         07:00</t>
  </si>
  <si>
    <t xml:space="preserve"> 4         15:48</t>
  </si>
  <si>
    <t xml:space="preserve">  - Lauf- &amp; Kraftgeräteparcours</t>
  </si>
  <si>
    <t xml:space="preserve"> 5         08:45</t>
  </si>
  <si>
    <t xml:space="preserve"> 5         19:45</t>
  </si>
  <si>
    <t xml:space="preserve"> &lt;    1:20</t>
  </si>
  <si>
    <t xml:space="preserve">  &gt;  38 km/h</t>
  </si>
  <si>
    <t xml:space="preserve"> &lt;    1:10</t>
  </si>
  <si>
    <t xml:space="preserve"> 6         10:30</t>
  </si>
  <si>
    <t xml:space="preserve"> 6         23:42</t>
  </si>
  <si>
    <t>Die Routine durchbrechen, was Neues ausprobieren!</t>
  </si>
  <si>
    <t xml:space="preserve"> &lt;    5:40</t>
  </si>
  <si>
    <t xml:space="preserve"> &lt;    2:45</t>
  </si>
  <si>
    <t xml:space="preserve"> 7         12:15</t>
  </si>
  <si>
    <t xml:space="preserve"> 7         27:39</t>
  </si>
  <si>
    <t xml:space="preserve"> 8         14:00</t>
  </si>
  <si>
    <t xml:space="preserve"> 8         31:36</t>
  </si>
  <si>
    <t xml:space="preserve"> 9         15:45</t>
  </si>
  <si>
    <t xml:space="preserve"> 9         35:33</t>
  </si>
  <si>
    <r>
      <t xml:space="preserve">Wellenförmige Steigerung </t>
    </r>
    <r>
      <rPr>
        <sz val="10"/>
        <rFont val="Arial"/>
        <family val="2"/>
      </rPr>
      <t xml:space="preserve">der Belastung unter Beachtung der </t>
    </r>
    <r>
      <rPr>
        <b/>
        <sz val="10"/>
        <rFont val="Arial"/>
        <family val="2"/>
      </rPr>
      <t>Variation</t>
    </r>
    <r>
      <rPr>
        <sz val="10"/>
        <rFont val="Arial"/>
        <family val="2"/>
      </rPr>
      <t xml:space="preserve"> der Trainingsgestaltung</t>
    </r>
  </si>
  <si>
    <t>10         17:30</t>
  </si>
  <si>
    <t>10        39:30</t>
  </si>
  <si>
    <t>Folgende Reihenfolge ist empfehlenswert:</t>
  </si>
  <si>
    <t>11         19:15</t>
  </si>
  <si>
    <t>12         21:00</t>
  </si>
  <si>
    <t>13         22:45</t>
  </si>
  <si>
    <t>14         24:30</t>
  </si>
  <si>
    <t>15         26:15</t>
  </si>
  <si>
    <t>16         28:00</t>
  </si>
  <si>
    <t>17         29:45</t>
  </si>
  <si>
    <t>18         31:30</t>
  </si>
  <si>
    <t>19         33:15</t>
  </si>
  <si>
    <t>20         35:00</t>
  </si>
  <si>
    <t>21         36:45</t>
  </si>
  <si>
    <t>22         38:30</t>
  </si>
  <si>
    <t>23         40:15</t>
  </si>
  <si>
    <t>24         42:00</t>
  </si>
  <si>
    <t>25         43:45</t>
  </si>
  <si>
    <t>26         45:30</t>
  </si>
  <si>
    <t>27         47:15</t>
  </si>
  <si>
    <t>28         49:00</t>
  </si>
  <si>
    <t>29         50:45</t>
  </si>
  <si>
    <t>30         52:30</t>
  </si>
  <si>
    <t>31         54:15</t>
  </si>
  <si>
    <t>32         56:00</t>
  </si>
  <si>
    <t>33         57:45</t>
  </si>
  <si>
    <t>34         59:30</t>
  </si>
  <si>
    <t>35       1:01:15</t>
  </si>
  <si>
    <t>36       1:03:00</t>
  </si>
  <si>
    <t>37       1:04:45</t>
  </si>
  <si>
    <t>38       1:06:30</t>
  </si>
  <si>
    <t>39       1:08:15</t>
  </si>
  <si>
    <t>40       1:10:00</t>
  </si>
  <si>
    <t xml:space="preserve"> 0:59:00 h</t>
  </si>
  <si>
    <t>0,7       10:30</t>
  </si>
  <si>
    <t xml:space="preserve"> 5,2      20:30</t>
  </si>
  <si>
    <r>
      <t xml:space="preserve">Trainingsprotokoll: </t>
    </r>
    <r>
      <rPr>
        <b/>
        <sz val="11"/>
        <rFont val="Verdana"/>
        <family val="2"/>
      </rPr>
      <t>Nov. 20 - Dez. 20</t>
    </r>
  </si>
  <si>
    <r>
      <t xml:space="preserve">Trainingsprotokoll: </t>
    </r>
    <r>
      <rPr>
        <b/>
        <sz val="11"/>
        <rFont val="Verdana"/>
        <family val="2"/>
      </rPr>
      <t>Jan. 21 - Feb. 21</t>
    </r>
  </si>
  <si>
    <t>2020/21</t>
  </si>
  <si>
    <t>Di 01.</t>
  </si>
  <si>
    <t>Do 01.</t>
  </si>
  <si>
    <t>Trainingsprotokoll</t>
  </si>
  <si>
    <t>bitte alle gelben Felder ausfüllen (bei 0 muß nichts eingetragen werden)</t>
  </si>
  <si>
    <t>Name:</t>
  </si>
  <si>
    <t>Vorname Name</t>
  </si>
  <si>
    <t>1.Trainingsmontag(bitte Datum 1x eintragen)</t>
  </si>
  <si>
    <t>Woche:</t>
  </si>
  <si>
    <t>Von-bis:</t>
  </si>
  <si>
    <t>MO</t>
  </si>
  <si>
    <t>DI</t>
  </si>
  <si>
    <t>MI</t>
  </si>
  <si>
    <t>DO</t>
  </si>
  <si>
    <t>FR</t>
  </si>
  <si>
    <t>SA</t>
  </si>
  <si>
    <t>SO</t>
  </si>
  <si>
    <t>TE gesamt</t>
  </si>
  <si>
    <t>Schw / km gesamt</t>
  </si>
  <si>
    <t xml:space="preserve">GA1 </t>
  </si>
  <si>
    <t>KA1</t>
  </si>
  <si>
    <t>KA2</t>
  </si>
  <si>
    <t>Rekom/Technik</t>
  </si>
  <si>
    <t>Gesamtzeit min</t>
  </si>
  <si>
    <t>Nettozeit min</t>
  </si>
  <si>
    <t>Rad / km gesamt</t>
  </si>
  <si>
    <t>Nettozeit  min</t>
  </si>
  <si>
    <t>Lauf / km gesamt</t>
  </si>
  <si>
    <t>Athletik/min</t>
  </si>
  <si>
    <t>Dehnung/min</t>
  </si>
  <si>
    <t>Spiel /  min</t>
  </si>
  <si>
    <t>anderes/min</t>
  </si>
  <si>
    <t>besonderes (Test/</t>
  </si>
  <si>
    <t>WK / Krankheit /.....</t>
  </si>
  <si>
    <t xml:space="preserve">Woche </t>
  </si>
  <si>
    <t xml:space="preserve">         Woche</t>
  </si>
  <si>
    <t>%</t>
  </si>
  <si>
    <t>Schw gesamt</t>
  </si>
  <si>
    <t xml:space="preserve"> GA1</t>
  </si>
  <si>
    <t xml:space="preserve"> GA2</t>
  </si>
  <si>
    <t xml:space="preserve"> KA1</t>
  </si>
  <si>
    <t xml:space="preserve"> WSA</t>
  </si>
  <si>
    <t xml:space="preserve"> Rad gesamt</t>
  </si>
  <si>
    <t>Lauf gesamt</t>
  </si>
  <si>
    <t>Gesamtzeiten in min</t>
  </si>
  <si>
    <t>Athletik</t>
  </si>
  <si>
    <t>Dehnung</t>
  </si>
  <si>
    <t>Spiel</t>
  </si>
  <si>
    <t>Anderes</t>
  </si>
  <si>
    <t>Rad</t>
  </si>
  <si>
    <t>Lauf</t>
  </si>
  <si>
    <t>Gesamtrainingszeit</t>
  </si>
  <si>
    <t>Trainingseinheiten</t>
  </si>
  <si>
    <t>Woche</t>
  </si>
  <si>
    <t>Jahressumme</t>
  </si>
  <si>
    <t>in %</t>
  </si>
  <si>
    <t>Gesamtzeit Athletik</t>
  </si>
  <si>
    <t>Gesamtzeit Dehnung</t>
  </si>
  <si>
    <t>Gesamtzeit Spiel</t>
  </si>
  <si>
    <t>Gesamtzeit anderes</t>
  </si>
  <si>
    <t>Gesamtzeit Schw</t>
  </si>
  <si>
    <t>Gesamtzeit Rad</t>
  </si>
  <si>
    <t>Gesamtzeit Lauf</t>
  </si>
  <si>
    <t>Gesamttrainingszeit</t>
  </si>
  <si>
    <t xml:space="preserve">          Nach 23 Tagen dann auf einem höheren Belastungsniveau u.s.w. bis zum Erreichen des HW-Niveaus trainieren.</t>
  </si>
  <si>
    <t>Rhythmus in Tagen</t>
  </si>
  <si>
    <t xml:space="preserve">                  Entwicklung der Leistungsfähigkeit über das Wettkampfjahr</t>
  </si>
  <si>
    <t>Belastung / Leistungsfähigkeit</t>
  </si>
  <si>
    <t xml:space="preserve">                Wellenförmige Steigerung der Belastung unter Beachtung der Variation der Trainingsgestaltung:</t>
  </si>
  <si>
    <t>B</t>
  </si>
  <si>
    <t>E</t>
  </si>
  <si>
    <r>
      <t xml:space="preserve">          Im </t>
    </r>
    <r>
      <rPr>
        <b/>
        <sz val="10"/>
        <color indexed="10"/>
        <rFont val="Arial"/>
        <family val="2"/>
      </rPr>
      <t>23-Tage-Körperzyklus</t>
    </r>
    <r>
      <rPr>
        <sz val="10"/>
        <rFont val="Arial"/>
        <family val="0"/>
      </rPr>
      <t xml:space="preserve"> taggenau bis zum Hauptwettkampf (HW) trainieren.</t>
    </r>
  </si>
  <si>
    <r>
      <t xml:space="preserve"> 3x Zyklen mit Steigerung im 23-Tage- und 2:1- und 3:1- </t>
    </r>
    <r>
      <rPr>
        <b/>
        <sz val="9"/>
        <rFont val="Verdana"/>
        <family val="2"/>
      </rPr>
      <t>B</t>
    </r>
    <r>
      <rPr>
        <sz val="9"/>
        <rFont val="Verdana"/>
        <family val="2"/>
      </rPr>
      <t xml:space="preserve">elastungstage : </t>
    </r>
    <r>
      <rPr>
        <b/>
        <sz val="9"/>
        <rFont val="Verdana"/>
        <family val="2"/>
      </rPr>
      <t>E</t>
    </r>
    <r>
      <rPr>
        <sz val="9"/>
        <rFont val="Verdana"/>
        <family val="2"/>
      </rPr>
      <t>ntlastungstage - Rhythmus</t>
    </r>
  </si>
  <si>
    <t>HW am 29.08.</t>
  </si>
  <si>
    <r>
      <t xml:space="preserve">Technik Sprint Lagen </t>
    </r>
    <r>
      <rPr>
        <sz val="8"/>
        <rFont val="Arial"/>
        <family val="2"/>
      </rPr>
      <t>400-800m</t>
    </r>
    <r>
      <rPr>
        <sz val="8"/>
        <rFont val="Arial"/>
        <family val="2"/>
      </rPr>
      <t xml:space="preserve"> </t>
    </r>
    <r>
      <rPr>
        <b/>
        <sz val="8"/>
        <color indexed="10"/>
        <rFont val="Arial"/>
        <family val="2"/>
      </rPr>
      <t>1500m</t>
    </r>
    <r>
      <rPr>
        <sz val="8"/>
        <rFont val="Arial"/>
        <family val="2"/>
      </rPr>
      <t xml:space="preserve">    </t>
    </r>
    <r>
      <rPr>
        <b/>
        <sz val="8"/>
        <color indexed="48"/>
        <rFont val="Arial"/>
        <family val="2"/>
      </rPr>
      <t xml:space="preserve">50 m Bahn-Training </t>
    </r>
  </si>
  <si>
    <t>Bergtraining Grunewaldturm</t>
  </si>
  <si>
    <t>HW</t>
  </si>
  <si>
    <t>Du</t>
  </si>
  <si>
    <t>Max</t>
  </si>
  <si>
    <t>Belast.-mini</t>
  </si>
  <si>
    <t>Belast.-max</t>
  </si>
  <si>
    <t>B II</t>
  </si>
  <si>
    <t>B I</t>
  </si>
  <si>
    <t>B III</t>
  </si>
  <si>
    <r>
      <t>B I</t>
    </r>
    <r>
      <rPr>
        <sz val="10"/>
        <rFont val="Arial"/>
        <family val="2"/>
      </rPr>
      <t xml:space="preserve"> Erhöhung der Trainingshäufigkeit (Einheiten pro Woche) </t>
    </r>
  </si>
  <si>
    <r>
      <t xml:space="preserve">B II </t>
    </r>
    <r>
      <rPr>
        <sz val="10"/>
        <rFont val="Arial"/>
        <family val="2"/>
      </rPr>
      <t xml:space="preserve">Erhöhung des Trainingsumfanges (Zeit oder Strecke pro Einheit) </t>
    </r>
  </si>
  <si>
    <r>
      <t>B III</t>
    </r>
    <r>
      <rPr>
        <sz val="10"/>
        <rFont val="Arial"/>
        <family val="2"/>
      </rPr>
      <t xml:space="preserve"> Erhöhung der Trainingsintensität (Tempo) </t>
    </r>
  </si>
  <si>
    <t xml:space="preserve">B </t>
  </si>
  <si>
    <r>
      <t xml:space="preserve">E   </t>
    </r>
    <r>
      <rPr>
        <b/>
        <sz val="8"/>
        <color indexed="10"/>
        <rFont val="Verdana"/>
        <family val="2"/>
      </rPr>
      <t>8 Wo.-Plan</t>
    </r>
  </si>
  <si>
    <r>
      <t xml:space="preserve">Wochen bis </t>
    </r>
    <r>
      <rPr>
        <b/>
        <sz val="8"/>
        <color indexed="10"/>
        <rFont val="Verdana"/>
        <family val="2"/>
      </rPr>
      <t>HW</t>
    </r>
  </si>
  <si>
    <t>B I Test Run</t>
  </si>
  <si>
    <t>B I Test Swim</t>
  </si>
  <si>
    <t xml:space="preserve">B II </t>
  </si>
  <si>
    <t>B III Test Swim</t>
  </si>
  <si>
    <t>WK</t>
  </si>
  <si>
    <r>
      <t xml:space="preserve">B III </t>
    </r>
    <r>
      <rPr>
        <sz val="8"/>
        <color indexed="10"/>
        <rFont val="Verdana"/>
        <family val="2"/>
      </rPr>
      <t>Lauf-WK</t>
    </r>
  </si>
  <si>
    <t>Trainingsstart + 3 Tage</t>
  </si>
  <si>
    <t xml:space="preserve">Trainingsstart </t>
  </si>
  <si>
    <t xml:space="preserve"> Datum HEUTE + x Tage</t>
  </si>
  <si>
    <r>
      <t xml:space="preserve">                               </t>
    </r>
    <r>
      <rPr>
        <b/>
        <sz val="10"/>
        <rFont val="Arial"/>
        <family val="2"/>
      </rPr>
      <t xml:space="preserve"> </t>
    </r>
    <r>
      <rPr>
        <b/>
        <sz val="10"/>
        <color indexed="10"/>
        <rFont val="Arial"/>
        <family val="2"/>
      </rPr>
      <t>8 Wochenplan</t>
    </r>
    <r>
      <rPr>
        <sz val="10"/>
        <rFont val="Arial"/>
        <family val="2"/>
      </rPr>
      <t xml:space="preserve">                8 x 7 = 56 Tage               </t>
    </r>
    <r>
      <rPr>
        <sz val="10"/>
        <rFont val="Arial"/>
        <family val="0"/>
      </rPr>
      <t xml:space="preserve"> Bsp.: Vom 06.03. sind es 121 Tage bis</t>
    </r>
    <r>
      <rPr>
        <sz val="10"/>
        <rFont val="Arial"/>
        <family val="2"/>
      </rPr>
      <t xml:space="preserve"> zum Trainingsstart am</t>
    </r>
    <r>
      <rPr>
        <b/>
        <sz val="10"/>
        <color indexed="10"/>
        <rFont val="Arial"/>
        <family val="2"/>
      </rPr>
      <t xml:space="preserve"> 05.07.</t>
    </r>
    <r>
      <rPr>
        <sz val="10"/>
        <rFont val="Arial"/>
        <family val="0"/>
      </rPr>
      <t xml:space="preserve"> und der 56. Tag HW am </t>
    </r>
    <r>
      <rPr>
        <b/>
        <sz val="10"/>
        <color indexed="10"/>
        <rFont val="Arial"/>
        <family val="2"/>
      </rPr>
      <t>29.08.</t>
    </r>
    <r>
      <rPr>
        <sz val="10"/>
        <rFont val="Arial"/>
        <family val="0"/>
      </rPr>
      <t xml:space="preserve"> liegt im Hoch </t>
    </r>
    <r>
      <rPr>
        <sz val="10"/>
        <rFont val="Arial"/>
        <family val="2"/>
      </rPr>
      <t xml:space="preserve">(1,00) </t>
    </r>
  </si>
  <si>
    <t xml:space="preserve">      Trainingslager</t>
  </si>
  <si>
    <t>B I       2 Wo.</t>
  </si>
  <si>
    <r>
      <t>3. Zyklus</t>
    </r>
    <r>
      <rPr>
        <b/>
        <sz val="10"/>
        <rFont val="Arial"/>
        <family val="2"/>
      </rPr>
      <t xml:space="preserve"> B III</t>
    </r>
    <r>
      <rPr>
        <sz val="10"/>
        <rFont val="Arial"/>
        <family val="2"/>
      </rPr>
      <t xml:space="preserve">: Erhöhung der Trainingsintensität (Wettkampftempo) </t>
    </r>
  </si>
  <si>
    <r>
      <t>2. Zyklus</t>
    </r>
    <r>
      <rPr>
        <b/>
        <sz val="10"/>
        <rFont val="Arial"/>
        <family val="2"/>
      </rPr>
      <t xml:space="preserve"> B II</t>
    </r>
    <r>
      <rPr>
        <sz val="10"/>
        <rFont val="Arial"/>
        <family val="2"/>
      </rPr>
      <t xml:space="preserve">: Erhöhung des Trainingsumfanges (Zeit oder Strecke pro Einheit) </t>
    </r>
  </si>
  <si>
    <r>
      <t xml:space="preserve">1. Zyklus </t>
    </r>
    <r>
      <rPr>
        <b/>
        <sz val="10"/>
        <rFont val="Arial"/>
        <family val="2"/>
      </rPr>
      <t>B I</t>
    </r>
    <r>
      <rPr>
        <sz val="10"/>
        <rFont val="Arial"/>
        <family val="2"/>
      </rPr>
      <t xml:space="preserve">: Erhöhung der Trainingshäufigkeit (Einheiten pro Woche) </t>
    </r>
  </si>
  <si>
    <t>Base</t>
  </si>
  <si>
    <t>Build</t>
  </si>
  <si>
    <t>Peak</t>
  </si>
  <si>
    <t>Trainingspläne: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</si>
</sst>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 mmm"/>
    <numFmt numFmtId="165" formatCode="ddd\ dd/"/>
    <numFmt numFmtId="166" formatCode="ddd"/>
    <numFmt numFmtId="167" formatCode="dd\.mm\.yy"/>
    <numFmt numFmtId="168" formatCode="0.0"/>
    <numFmt numFmtId="169" formatCode="yyyy\-mm\-dd"/>
    <numFmt numFmtId="170" formatCode="dd/mm/yy"/>
    <numFmt numFmtId="171" formatCode="#,##0\ &quot;DM&quot;;\-#,##0\ &quot;DM&quot;"/>
    <numFmt numFmtId="172" formatCode="#,##0\ &quot;DM&quot;;[Red]\-#,##0\ &quot;DM&quot;"/>
    <numFmt numFmtId="173" formatCode="#,##0.00\ &quot;DM&quot;;\-#,##0.00\ &quot;DM&quot;"/>
    <numFmt numFmtId="174" formatCode="#,##0.00\ &quot;DM&quot;;[Red]\-#,##0.00\ &quot;DM&quot;"/>
    <numFmt numFmtId="175" formatCode="_-* #,##0\ &quot;DM&quot;_-;\-* #,##0\ &quot;DM&quot;_-;_-* &quot;-&quot;\ &quot;DM&quot;_-;_-@_-"/>
    <numFmt numFmtId="176" formatCode="_-* #,##0\ _D_M_-;\-* #,##0\ _D_M_-;_-* &quot;-&quot;\ _D_M_-;_-@_-"/>
    <numFmt numFmtId="177" formatCode="_-* #,##0.00\ &quot;DM&quot;_-;\-* #,##0.00\ &quot;DM&quot;_-;_-* &quot;-&quot;??\ &quot;DM&quot;_-;_-@_-"/>
    <numFmt numFmtId="178" formatCode="_-* #,##0.00\ _D_M_-;\-* #,##0.00\ _D_M_-;_-* &quot;-&quot;??\ _D_M_-;_-@_-"/>
  </numFmts>
  <fonts count="92">
    <font>
      <sz val="10"/>
      <name val="Arial"/>
      <family val="2"/>
    </font>
    <font>
      <sz val="11"/>
      <color indexed="8"/>
      <name val="Calibri"/>
      <family val="2"/>
    </font>
    <font>
      <sz val="11"/>
      <color indexed="9"/>
      <name val="Calibri"/>
      <family val="2"/>
    </font>
    <font>
      <b/>
      <sz val="11"/>
      <color indexed="8"/>
      <name val="Calibri"/>
      <family val="2"/>
    </font>
    <font>
      <b/>
      <i/>
      <sz val="10"/>
      <color indexed="10"/>
      <name val="Arial"/>
      <family val="2"/>
    </font>
    <font>
      <u val="single"/>
      <sz val="10"/>
      <color indexed="12"/>
      <name val="Arial"/>
      <family val="2"/>
    </font>
    <font>
      <b/>
      <sz val="18"/>
      <color indexed="56"/>
      <name val="Cambria"/>
      <family val="2"/>
    </font>
    <font>
      <sz val="11"/>
      <name val="Verdana"/>
      <family val="2"/>
    </font>
    <font>
      <b/>
      <sz val="11"/>
      <name val="Verdana"/>
      <family val="2"/>
    </font>
    <font>
      <b/>
      <sz val="10"/>
      <name val="Verdana"/>
      <family val="2"/>
    </font>
    <font>
      <b/>
      <sz val="10"/>
      <name val="Arial"/>
      <family val="2"/>
    </font>
    <font>
      <sz val="8"/>
      <name val="Arial"/>
      <family val="2"/>
    </font>
    <font>
      <sz val="9"/>
      <color indexed="8"/>
      <name val="Tahoma"/>
      <family val="2"/>
    </font>
    <font>
      <b/>
      <sz val="9"/>
      <color indexed="8"/>
      <name val="Tahoma"/>
      <family val="2"/>
    </font>
    <font>
      <sz val="8"/>
      <color indexed="8"/>
      <name val="Tahoma"/>
      <family val="2"/>
    </font>
    <font>
      <b/>
      <sz val="8"/>
      <color indexed="10"/>
      <name val="Arial"/>
      <family val="2"/>
    </font>
    <font>
      <b/>
      <sz val="8"/>
      <name val="Verdana"/>
      <family val="2"/>
    </font>
    <font>
      <sz val="8"/>
      <name val="Verdana"/>
      <family val="2"/>
    </font>
    <font>
      <i/>
      <sz val="8"/>
      <name val="Arial"/>
      <family val="2"/>
    </font>
    <font>
      <sz val="8"/>
      <color indexed="10"/>
      <name val="Verdana"/>
      <family val="2"/>
    </font>
    <font>
      <b/>
      <sz val="8"/>
      <color indexed="10"/>
      <name val="Verdana"/>
      <family val="2"/>
    </font>
    <font>
      <sz val="10"/>
      <color indexed="20"/>
      <name val="Arial"/>
      <family val="2"/>
    </font>
    <font>
      <sz val="8"/>
      <color indexed="10"/>
      <name val="Arial"/>
      <family val="2"/>
    </font>
    <font>
      <sz val="10"/>
      <name val="Verdana"/>
      <family val="2"/>
    </font>
    <font>
      <sz val="10"/>
      <color indexed="22"/>
      <name val="Verdana"/>
      <family val="2"/>
    </font>
    <font>
      <sz val="8"/>
      <color indexed="8"/>
      <name val="Verdana"/>
      <family val="2"/>
    </font>
    <font>
      <sz val="8"/>
      <color indexed="22"/>
      <name val="Verdana"/>
      <family val="2"/>
    </font>
    <font>
      <b/>
      <sz val="9"/>
      <name val="Verdana"/>
      <family val="2"/>
    </font>
    <font>
      <i/>
      <sz val="8"/>
      <name val="Verdana"/>
      <family val="2"/>
    </font>
    <font>
      <b/>
      <sz val="10"/>
      <color indexed="12"/>
      <name val="Arial"/>
      <family val="2"/>
    </font>
    <font>
      <sz val="9"/>
      <name val="Arial"/>
      <family val="2"/>
    </font>
    <font>
      <sz val="10"/>
      <color indexed="12"/>
      <name val="Arial"/>
      <family val="2"/>
    </font>
    <font>
      <sz val="9"/>
      <name val="Verdana"/>
      <family val="2"/>
    </font>
    <font>
      <b/>
      <sz val="9"/>
      <color indexed="8"/>
      <name val="Verdana"/>
      <family val="2"/>
    </font>
    <font>
      <b/>
      <i/>
      <sz val="8"/>
      <name val="Verdana"/>
      <family val="2"/>
    </font>
    <font>
      <b/>
      <i/>
      <sz val="8"/>
      <color indexed="10"/>
      <name val="Verdana"/>
      <family val="2"/>
    </font>
    <font>
      <sz val="8"/>
      <color indexed="22"/>
      <name val="Tahoma"/>
      <family val="2"/>
    </font>
    <font>
      <b/>
      <sz val="8"/>
      <color indexed="8"/>
      <name val="Tahoma"/>
      <family val="2"/>
    </font>
    <font>
      <sz val="10"/>
      <color indexed="10"/>
      <name val="Arial"/>
      <family val="2"/>
    </font>
    <font>
      <b/>
      <sz val="10"/>
      <color indexed="10"/>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0"/>
      <color indexed="8"/>
      <name val="Arial"/>
      <family val="0"/>
    </font>
    <font>
      <sz val="9.75"/>
      <color indexed="8"/>
      <name val="Verdana"/>
      <family val="0"/>
    </font>
    <font>
      <b/>
      <sz val="10"/>
      <color indexed="10"/>
      <name val="Verdana"/>
      <family val="0"/>
    </font>
    <font>
      <sz val="10"/>
      <color indexed="8"/>
      <name val="Verdana"/>
      <family val="0"/>
    </font>
    <font>
      <b/>
      <sz val="10"/>
      <color indexed="8"/>
      <name val="Verdana"/>
      <family val="0"/>
    </font>
    <font>
      <sz val="8.25"/>
      <color indexed="8"/>
      <name val="Verdana"/>
      <family val="0"/>
    </font>
    <font>
      <sz val="8.25"/>
      <color indexed="10"/>
      <name val="Verdana"/>
      <family val="0"/>
    </font>
    <font>
      <b/>
      <sz val="10.25"/>
      <color indexed="10"/>
      <name val="Verdana"/>
      <family val="0"/>
    </font>
    <font>
      <b/>
      <sz val="10.25"/>
      <color indexed="8"/>
      <name val="Verdana"/>
      <family val="0"/>
    </font>
    <font>
      <sz val="9"/>
      <color indexed="8"/>
      <name val="Verdana"/>
      <family val="0"/>
    </font>
    <font>
      <b/>
      <sz val="8"/>
      <color indexed="8"/>
      <name val="Verdana"/>
      <family val="0"/>
    </font>
    <font>
      <sz val="7.75"/>
      <color indexed="8"/>
      <name val="Verdana"/>
      <family val="0"/>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4"/>
      <name val="Arial"/>
      <family val="0"/>
    </font>
    <font>
      <b/>
      <sz val="9"/>
      <name val="Arial"/>
      <family val="0"/>
    </font>
    <font>
      <sz val="6.5"/>
      <name val="Arial"/>
      <family val="0"/>
    </font>
    <font>
      <sz val="14.4"/>
      <color indexed="8"/>
      <name val="Arial"/>
      <family val="0"/>
    </font>
    <font>
      <sz val="6.05"/>
      <color indexed="8"/>
      <name val="Arial"/>
      <family val="0"/>
    </font>
    <font>
      <sz val="7.7"/>
      <color indexed="8"/>
      <name val="Arial"/>
      <family val="0"/>
    </font>
    <font>
      <sz val="18"/>
      <color indexed="8"/>
      <name val="Arial"/>
      <family val="0"/>
    </font>
    <font>
      <sz val="8.95"/>
      <color indexed="8"/>
      <name val="Arial"/>
      <family val="0"/>
    </font>
    <font>
      <sz val="14.25"/>
      <color indexed="8"/>
      <name val="Arial"/>
      <family val="0"/>
    </font>
    <font>
      <sz val="11.5"/>
      <color indexed="8"/>
      <name val="Arial"/>
      <family val="0"/>
    </font>
    <font>
      <sz val="9.2"/>
      <color indexed="8"/>
      <name val="Arial"/>
      <family val="0"/>
    </font>
    <font>
      <b/>
      <sz val="8"/>
      <name val="Tahoma"/>
      <family val="2"/>
    </font>
    <font>
      <sz val="9"/>
      <name val="Tahoma"/>
      <family val="2"/>
    </font>
    <font>
      <b/>
      <sz val="9"/>
      <name val="Tahoma"/>
      <family val="2"/>
    </font>
    <font>
      <b/>
      <sz val="12"/>
      <name val="Arial"/>
      <family val="0"/>
    </font>
    <font>
      <b/>
      <sz val="8"/>
      <color indexed="48"/>
      <name val="Arial"/>
      <family val="2"/>
    </font>
    <font>
      <u val="single"/>
      <sz val="10"/>
      <color indexed="36"/>
      <name val="Arial"/>
      <family val="0"/>
    </font>
    <font>
      <sz val="8"/>
      <color indexed="55"/>
      <name val="Verdana"/>
      <family val="2"/>
    </font>
    <font>
      <sz val="8"/>
      <color indexed="23"/>
      <name val="Verdana"/>
      <family val="2"/>
    </font>
    <font>
      <i/>
      <sz val="8"/>
      <color indexed="23"/>
      <name val="Verdana"/>
      <family val="2"/>
    </font>
    <font>
      <u val="single"/>
      <sz val="10"/>
      <color indexed="8"/>
      <name val="Arial"/>
      <family val="2"/>
    </font>
    <font>
      <b/>
      <sz val="8"/>
      <name val="Arial"/>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55"/>
        <bgColor indexed="64"/>
      </patternFill>
    </fill>
    <fill>
      <patternFill patternType="solid">
        <fgColor indexed="17"/>
        <bgColor indexed="64"/>
      </patternFill>
    </fill>
    <fill>
      <patternFill patternType="solid">
        <fgColor indexed="57"/>
        <bgColor indexed="64"/>
      </patternFill>
    </fill>
    <fill>
      <patternFill patternType="solid">
        <fgColor indexed="61"/>
        <bgColor indexed="64"/>
      </patternFill>
    </fill>
    <fill>
      <patternFill patternType="solid">
        <fgColor indexed="12"/>
        <bgColor indexed="64"/>
      </patternFill>
    </fill>
    <fill>
      <patternFill patternType="solid">
        <fgColor indexed="9"/>
        <bgColor indexed="64"/>
      </patternFill>
    </fill>
  </fills>
  <borders count="11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color indexed="63"/>
      </left>
      <right style="thick">
        <color indexed="8"/>
      </right>
      <top>
        <color indexed="63"/>
      </top>
      <bottom>
        <color indexed="63"/>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ck">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color indexed="63"/>
      </top>
      <bottom style="hair">
        <color indexed="8"/>
      </bottom>
    </border>
    <border>
      <left style="thin">
        <color indexed="8"/>
      </left>
      <right style="medium">
        <color indexed="8"/>
      </right>
      <top style="thin">
        <color indexed="8"/>
      </top>
      <bottom style="hair">
        <color indexed="8"/>
      </bottom>
    </border>
    <border>
      <left style="thick">
        <color indexed="8"/>
      </left>
      <right>
        <color indexed="63"/>
      </right>
      <top>
        <color indexed="63"/>
      </top>
      <bottom>
        <color indexed="63"/>
      </bottom>
    </border>
    <border>
      <left style="thin">
        <color indexed="8"/>
      </left>
      <right style="medium">
        <color indexed="8"/>
      </right>
      <top>
        <color indexed="63"/>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medium">
        <color indexed="8"/>
      </bottom>
    </border>
    <border>
      <left style="thin">
        <color indexed="8"/>
      </left>
      <right style="medium">
        <color indexed="8"/>
      </right>
      <top style="hair">
        <color indexed="8"/>
      </top>
      <bottom style="medium">
        <color indexed="8"/>
      </bottom>
    </border>
    <border>
      <left>
        <color indexed="63"/>
      </left>
      <right>
        <color indexed="63"/>
      </right>
      <top style="medium">
        <color indexed="8"/>
      </top>
      <bottom style="thin">
        <color indexed="8"/>
      </bottom>
    </border>
    <border>
      <left>
        <color indexed="63"/>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color indexed="10"/>
      </left>
      <right>
        <color indexed="63"/>
      </right>
      <top style="thin">
        <color indexed="8"/>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double">
        <color indexed="8"/>
      </bottom>
    </border>
    <border>
      <left>
        <color indexed="63"/>
      </left>
      <right>
        <color indexed="63"/>
      </right>
      <top>
        <color indexed="63"/>
      </top>
      <bottom style="double">
        <color indexed="8"/>
      </bottom>
    </border>
    <border>
      <left>
        <color indexed="63"/>
      </left>
      <right>
        <color indexed="63"/>
      </right>
      <top style="double">
        <color indexed="8"/>
      </top>
      <bottom>
        <color indexed="63"/>
      </bottom>
    </border>
    <border>
      <left style="medium">
        <color indexed="10"/>
      </left>
      <right>
        <color indexed="63"/>
      </right>
      <top>
        <color indexed="63"/>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medium">
        <color indexed="8"/>
      </right>
      <top style="thin">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hair">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hair">
        <color indexed="8"/>
      </bottom>
    </border>
    <border>
      <left style="medium">
        <color indexed="8"/>
      </left>
      <right style="medium">
        <color indexed="8"/>
      </right>
      <top style="thin">
        <color indexed="8"/>
      </top>
      <bottom style="thin">
        <color indexed="8"/>
      </bottom>
    </border>
    <border>
      <left style="medium">
        <color indexed="8"/>
      </left>
      <right>
        <color indexed="63"/>
      </right>
      <top style="hair">
        <color indexed="8"/>
      </top>
      <bottom style="hair">
        <color indexed="8"/>
      </bottom>
    </border>
    <border>
      <left style="thin">
        <color indexed="8"/>
      </left>
      <right>
        <color indexed="63"/>
      </right>
      <top>
        <color indexed="63"/>
      </top>
      <bottom style="medium">
        <color indexed="8"/>
      </bottom>
    </border>
    <border>
      <left style="thin">
        <color indexed="8"/>
      </left>
      <right>
        <color indexed="63"/>
      </right>
      <top style="medium">
        <color indexed="8"/>
      </top>
      <bottom>
        <color indexed="63"/>
      </bottom>
    </border>
    <border>
      <left style="thin">
        <color indexed="8"/>
      </left>
      <right style="medium">
        <color indexed="8"/>
      </right>
      <top style="hair">
        <color indexed="8"/>
      </top>
      <bottom style="thin">
        <color indexed="8"/>
      </bottom>
    </border>
    <border>
      <left style="thin">
        <color indexed="8"/>
      </left>
      <right>
        <color indexed="63"/>
      </right>
      <top style="thin">
        <color indexed="8"/>
      </top>
      <bottom style="hair">
        <color indexed="8"/>
      </bottom>
    </border>
    <border>
      <left>
        <color indexed="63"/>
      </left>
      <right style="medium">
        <color indexed="8"/>
      </right>
      <top>
        <color indexed="63"/>
      </top>
      <bottom style="hair">
        <color indexed="8"/>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medium">
        <color indexed="8"/>
      </left>
      <right style="thin">
        <color indexed="8"/>
      </right>
      <top>
        <color indexed="63"/>
      </top>
      <bottom style="thin">
        <color indexed="8"/>
      </bottom>
    </border>
    <border>
      <left style="thick">
        <color indexed="8"/>
      </left>
      <right style="thick">
        <color indexed="8"/>
      </right>
      <top style="thick">
        <color indexed="8"/>
      </top>
      <bottom style="thin">
        <color indexed="8"/>
      </bottom>
    </border>
    <border>
      <left style="thick">
        <color indexed="8"/>
      </left>
      <right style="thick">
        <color indexed="8"/>
      </right>
      <top>
        <color indexed="63"/>
      </top>
      <bottom style="thick">
        <color indexed="8"/>
      </bottom>
    </border>
    <border>
      <left style="medium">
        <color indexed="8"/>
      </left>
      <right style="thin">
        <color indexed="8"/>
      </right>
      <top style="thin">
        <color indexed="8"/>
      </top>
      <bottom>
        <color indexed="63"/>
      </bottom>
    </border>
    <border>
      <left style="medium">
        <color indexed="8"/>
      </left>
      <right style="thin">
        <color indexed="8"/>
      </right>
      <top style="medium">
        <color indexed="8"/>
      </top>
      <bottom>
        <color indexed="63"/>
      </bottom>
    </border>
    <border>
      <left>
        <color indexed="63"/>
      </left>
      <right>
        <color indexed="63"/>
      </right>
      <top style="thin">
        <color indexed="8"/>
      </top>
      <bottom style="medium">
        <color indexed="8"/>
      </bottom>
    </border>
  </borders>
  <cellStyleXfs count="6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0" fontId="2" fillId="4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47" fillId="21" borderId="1" applyNumberFormat="0" applyAlignment="0" applyProtection="0"/>
    <xf numFmtId="0" fontId="47" fillId="43" borderId="1" applyNumberFormat="0" applyAlignment="0" applyProtection="0"/>
    <xf numFmtId="0" fontId="47" fillId="43" borderId="1" applyNumberFormat="0" applyAlignment="0" applyProtection="0"/>
    <xf numFmtId="0" fontId="47" fillId="43" borderId="1" applyNumberFormat="0" applyAlignment="0" applyProtection="0"/>
    <xf numFmtId="0" fontId="47" fillId="43" borderId="1" applyNumberFormat="0" applyAlignment="0" applyProtection="0"/>
    <xf numFmtId="0" fontId="47" fillId="43" borderId="1" applyNumberFormat="0" applyAlignment="0" applyProtection="0"/>
    <xf numFmtId="0" fontId="47" fillId="43" borderId="1" applyNumberFormat="0" applyAlignment="0" applyProtection="0"/>
    <xf numFmtId="0" fontId="47" fillId="9" borderId="1" applyNumberFormat="0" applyAlignment="0" applyProtection="0"/>
    <xf numFmtId="0" fontId="47" fillId="9" borderId="1" applyNumberFormat="0" applyAlignment="0" applyProtection="0"/>
    <xf numFmtId="0" fontId="48" fillId="21" borderId="2" applyNumberFormat="0" applyAlignment="0" applyProtection="0"/>
    <xf numFmtId="0" fontId="48" fillId="43" borderId="2" applyNumberFormat="0" applyAlignment="0" applyProtection="0"/>
    <xf numFmtId="0" fontId="48" fillId="43" borderId="2" applyNumberFormat="0" applyAlignment="0" applyProtection="0"/>
    <xf numFmtId="0" fontId="48" fillId="43" borderId="2" applyNumberFormat="0" applyAlignment="0" applyProtection="0"/>
    <xf numFmtId="0" fontId="48" fillId="43" borderId="2" applyNumberFormat="0" applyAlignment="0" applyProtection="0"/>
    <xf numFmtId="0" fontId="48" fillId="43" borderId="2" applyNumberFormat="0" applyAlignment="0" applyProtection="0"/>
    <xf numFmtId="0" fontId="48" fillId="43" borderId="2" applyNumberFormat="0" applyAlignment="0" applyProtection="0"/>
    <xf numFmtId="0" fontId="48" fillId="9" borderId="2" applyNumberFormat="0" applyAlignment="0" applyProtection="0"/>
    <xf numFmtId="0" fontId="48" fillId="9" borderId="2" applyNumberFormat="0" applyAlignment="0" applyProtection="0"/>
    <xf numFmtId="0" fontId="8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1" fontId="0" fillId="0" borderId="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ill="0" applyBorder="0" applyAlignment="0" applyProtection="0"/>
    <xf numFmtId="41" fontId="0" fillId="0" borderId="0" applyFill="0" applyBorder="0" applyAlignment="0" applyProtection="0"/>
    <xf numFmtId="41" fontId="0" fillId="0" borderId="0" applyFill="0" applyBorder="0" applyAlignment="0" applyProtection="0"/>
    <xf numFmtId="41" fontId="0" fillId="0" borderId="0" applyFill="0" applyBorder="0" applyAlignment="0" applyProtection="0"/>
    <xf numFmtId="41" fontId="0" fillId="0" borderId="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6" fillId="7" borderId="2" applyNumberFormat="0" applyAlignment="0" applyProtection="0"/>
    <xf numFmtId="0" fontId="46" fillId="15" borderId="2" applyNumberFormat="0" applyAlignment="0" applyProtection="0"/>
    <xf numFmtId="0" fontId="46" fillId="15" borderId="2" applyNumberFormat="0" applyAlignment="0" applyProtection="0"/>
    <xf numFmtId="0" fontId="46" fillId="15" borderId="2" applyNumberFormat="0" applyAlignment="0" applyProtection="0"/>
    <xf numFmtId="0" fontId="46" fillId="15" borderId="2" applyNumberFormat="0" applyAlignment="0" applyProtection="0"/>
    <xf numFmtId="0" fontId="46" fillId="15" borderId="2" applyNumberFormat="0" applyAlignment="0" applyProtection="0"/>
    <xf numFmtId="0" fontId="46" fillId="15" borderId="2" applyNumberFormat="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4" applyNumberFormat="0" applyFill="0" applyAlignment="0" applyProtection="0"/>
    <xf numFmtId="0" fontId="3" fillId="0" borderId="4" applyNumberFormat="0" applyFill="0" applyAlignment="0" applyProtection="0"/>
    <xf numFmtId="0" fontId="3" fillId="0" borderId="4" applyNumberFormat="0" applyFill="0" applyAlignment="0" applyProtection="0"/>
    <xf numFmtId="0" fontId="3" fillId="0" borderId="4" applyNumberFormat="0" applyFill="0" applyAlignment="0" applyProtection="0"/>
    <xf numFmtId="0" fontId="3" fillId="0" borderId="4" applyNumberFormat="0" applyFill="0" applyAlignment="0" applyProtection="0"/>
    <xf numFmtId="0" fontId="3" fillId="0" borderId="4" applyNumberFormat="0" applyFill="0" applyAlignment="0" applyProtection="0"/>
    <xf numFmtId="0" fontId="3" fillId="0" borderId="3" applyNumberFormat="0" applyFill="0" applyAlignment="0" applyProtection="0"/>
    <xf numFmtId="0" fontId="3" fillId="0" borderId="4" applyNumberFormat="0" applyFill="0" applyAlignment="0" applyProtection="0"/>
    <xf numFmtId="0" fontId="3" fillId="0" borderId="3" applyNumberFormat="0" applyFill="0" applyAlignment="0" applyProtection="0"/>
    <xf numFmtId="0" fontId="3" fillId="0" borderId="4" applyNumberFormat="0" applyFill="0" applyAlignment="0" applyProtection="0"/>
    <xf numFmtId="0" fontId="52" fillId="0" borderId="0" applyNumberFormat="0" applyFill="0" applyBorder="0" applyAlignment="0" applyProtection="0"/>
    <xf numFmtId="0" fontId="4" fillId="0" borderId="0" applyFill="0" applyBorder="0" applyProtection="0">
      <alignment horizontal="center"/>
    </xf>
    <xf numFmtId="0" fontId="43" fillId="4"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5" fillId="2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0" fillId="12" borderId="5" applyNumberFormat="0" applyFont="0" applyAlignment="0" applyProtection="0"/>
    <xf numFmtId="0" fontId="0" fillId="45" borderId="5" applyNumberFormat="0" applyAlignment="0" applyProtection="0"/>
    <xf numFmtId="0" fontId="0" fillId="45" borderId="5" applyNumberFormat="0" applyAlignment="0" applyProtection="0"/>
    <xf numFmtId="0" fontId="0" fillId="45" borderId="5" applyNumberFormat="0" applyAlignment="0" applyProtection="0"/>
    <xf numFmtId="0" fontId="0" fillId="45" borderId="5" applyNumberFormat="0" applyAlignment="0" applyProtection="0"/>
    <xf numFmtId="0" fontId="0" fillId="45" borderId="5" applyNumberFormat="0" applyAlignment="0" applyProtection="0"/>
    <xf numFmtId="0" fontId="0" fillId="45" borderId="5"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3"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ill="0" applyBorder="0" applyProtection="0">
      <alignment/>
    </xf>
    <xf numFmtId="0" fontId="0" fillId="0" borderId="0" applyFill="0" applyBorder="0" applyProtection="0">
      <alignment/>
    </xf>
    <xf numFmtId="0" fontId="6" fillId="0" borderId="0" applyNumberFormat="0" applyFill="0" applyBorder="0" applyAlignment="0" applyProtection="0"/>
    <xf numFmtId="0" fontId="40"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41" fillId="0" borderId="8" applyNumberFormat="0" applyFill="0" applyAlignment="0" applyProtection="0"/>
    <xf numFmtId="0" fontId="68" fillId="0" borderId="8" applyNumberFormat="0" applyFill="0" applyAlignment="0" applyProtection="0"/>
    <xf numFmtId="0" fontId="68" fillId="0" borderId="8" applyNumberFormat="0" applyFill="0" applyAlignment="0" applyProtection="0"/>
    <xf numFmtId="0" fontId="42" fillId="0" borderId="9" applyNumberFormat="0" applyFill="0" applyAlignment="0" applyProtection="0"/>
    <xf numFmtId="0" fontId="69" fillId="0" borderId="10" applyNumberFormat="0" applyFill="0" applyAlignment="0" applyProtection="0"/>
    <xf numFmtId="0" fontId="69" fillId="0" borderId="10" applyNumberFormat="0" applyFill="0" applyAlignment="0" applyProtection="0"/>
    <xf numFmtId="0" fontId="4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49" fillId="0" borderId="11" applyNumberFormat="0" applyFill="0" applyAlignment="0" applyProtection="0"/>
    <xf numFmtId="44" fontId="0" fillId="0" borderId="0" applyFill="0" applyBorder="0" applyAlignment="0" applyProtection="0"/>
    <xf numFmtId="42" fontId="0" fillId="0" borderId="0" applyFill="0" applyBorder="0" applyAlignment="0" applyProtection="0"/>
    <xf numFmtId="42" fontId="0" fillId="0" borderId="0" applyFill="0" applyBorder="0" applyAlignment="0" applyProtection="0"/>
    <xf numFmtId="175"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ill="0" applyBorder="0" applyAlignment="0" applyProtection="0"/>
    <xf numFmtId="42" fontId="0" fillId="0" borderId="0" applyFill="0" applyBorder="0" applyAlignment="0" applyProtection="0"/>
    <xf numFmtId="42" fontId="0" fillId="0" borderId="0" applyFill="0" applyBorder="0" applyAlignment="0" applyProtection="0"/>
    <xf numFmtId="42" fontId="0" fillId="0" borderId="0" applyFill="0" applyBorder="0" applyAlignment="0" applyProtection="0"/>
    <xf numFmtId="42" fontId="0" fillId="0" borderId="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ill="0" applyBorder="0" applyAlignment="0" applyProtection="0"/>
    <xf numFmtId="44" fontId="0" fillId="0" borderId="0" applyFill="0" applyBorder="0" applyAlignment="0" applyProtection="0"/>
    <xf numFmtId="44" fontId="0" fillId="0" borderId="0" applyFill="0" applyBorder="0" applyAlignment="0" applyProtection="0"/>
    <xf numFmtId="44" fontId="0" fillId="0" borderId="0" applyFill="0" applyBorder="0" applyAlignment="0" applyProtection="0"/>
    <xf numFmtId="44"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50" fillId="46" borderId="12" applyNumberFormat="0" applyAlignment="0" applyProtection="0"/>
    <xf numFmtId="0" fontId="50" fillId="47" borderId="12" applyNumberFormat="0" applyAlignment="0" applyProtection="0"/>
    <xf numFmtId="0" fontId="50" fillId="47" borderId="12" applyNumberFormat="0" applyAlignment="0" applyProtection="0"/>
    <xf numFmtId="0" fontId="50" fillId="47" borderId="12" applyNumberFormat="0" applyAlignment="0" applyProtection="0"/>
    <xf numFmtId="0" fontId="50" fillId="47" borderId="12" applyNumberFormat="0" applyAlignment="0" applyProtection="0"/>
    <xf numFmtId="0" fontId="50" fillId="47" borderId="12" applyNumberFormat="0" applyAlignment="0" applyProtection="0"/>
    <xf numFmtId="0" fontId="50" fillId="47" borderId="12" applyNumberFormat="0" applyAlignment="0" applyProtection="0"/>
  </cellStyleXfs>
  <cellXfs count="405">
    <xf numFmtId="0" fontId="0" fillId="0" borderId="0" xfId="0" applyAlignment="1">
      <alignment/>
    </xf>
    <xf numFmtId="0" fontId="0" fillId="0" borderId="0" xfId="0" applyAlignment="1">
      <alignment horizontal="center" vertical="center"/>
    </xf>
    <xf numFmtId="0" fontId="7" fillId="0" borderId="0" xfId="0" applyFont="1" applyAlignment="1">
      <alignment/>
    </xf>
    <xf numFmtId="164" fontId="0" fillId="0" borderId="0" xfId="0" applyNumberFormat="1" applyFont="1" applyAlignment="1">
      <alignment horizontal="center"/>
    </xf>
    <xf numFmtId="164" fontId="0" fillId="0" borderId="0" xfId="0" applyNumberFormat="1" applyFont="1" applyAlignment="1">
      <alignment horizontal="center" vertical="center"/>
    </xf>
    <xf numFmtId="164" fontId="9" fillId="0" borderId="0" xfId="0" applyNumberFormat="1" applyFont="1" applyAlignment="1">
      <alignment horizontal="center"/>
    </xf>
    <xf numFmtId="0" fontId="0" fillId="0" borderId="0" xfId="0" applyBorder="1" applyAlignment="1">
      <alignment/>
    </xf>
    <xf numFmtId="0" fontId="0" fillId="0" borderId="0" xfId="0" applyBorder="1" applyAlignment="1">
      <alignment horizontal="center" vertical="center"/>
    </xf>
    <xf numFmtId="0" fontId="10" fillId="0" borderId="0" xfId="0" applyFont="1" applyAlignment="1">
      <alignment/>
    </xf>
    <xf numFmtId="0" fontId="11" fillId="11" borderId="0" xfId="0" applyFont="1" applyFill="1" applyBorder="1" applyAlignment="1">
      <alignment horizontal="center"/>
    </xf>
    <xf numFmtId="0" fontId="11" fillId="23" borderId="0" xfId="0" applyFont="1" applyFill="1" applyBorder="1" applyAlignment="1">
      <alignment horizontal="center"/>
    </xf>
    <xf numFmtId="0" fontId="11" fillId="39" borderId="0" xfId="0" applyFont="1" applyFill="1" applyBorder="1" applyAlignment="1">
      <alignment horizontal="center"/>
    </xf>
    <xf numFmtId="0" fontId="0" fillId="0" borderId="0" xfId="0" applyFont="1" applyAlignment="1">
      <alignment horizontal="center"/>
    </xf>
    <xf numFmtId="0" fontId="10" fillId="0" borderId="13" xfId="0" applyFont="1" applyFill="1" applyBorder="1" applyAlignment="1">
      <alignment horizontal="center"/>
    </xf>
    <xf numFmtId="0" fontId="0" fillId="48" borderId="0" xfId="0" applyFont="1" applyFill="1" applyBorder="1" applyAlignment="1">
      <alignment horizontal="center" vertical="center"/>
    </xf>
    <xf numFmtId="0" fontId="0"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0" fontId="10" fillId="0" borderId="14" xfId="0" applyFont="1" applyFill="1" applyBorder="1" applyAlignment="1">
      <alignment/>
    </xf>
    <xf numFmtId="0" fontId="0" fillId="0" borderId="0" xfId="0" applyFont="1" applyFill="1" applyBorder="1" applyAlignment="1">
      <alignment horizontal="center" vertical="center"/>
    </xf>
    <xf numFmtId="0" fontId="0" fillId="0" borderId="14" xfId="0" applyFont="1" applyFill="1" applyBorder="1" applyAlignment="1">
      <alignment horizontal="center"/>
    </xf>
    <xf numFmtId="0" fontId="0" fillId="37" borderId="0" xfId="0" applyFont="1" applyFill="1" applyBorder="1" applyAlignment="1">
      <alignment horizontal="center" vertical="center"/>
    </xf>
    <xf numFmtId="0" fontId="11" fillId="0" borderId="0" xfId="0" applyFont="1" applyAlignment="1">
      <alignment/>
    </xf>
    <xf numFmtId="0" fontId="16" fillId="0" borderId="16" xfId="0" applyFont="1" applyFill="1" applyBorder="1" applyAlignment="1" applyProtection="1">
      <alignment horizontal="left" vertical="center"/>
      <protection hidden="1"/>
    </xf>
    <xf numFmtId="0" fontId="0" fillId="0" borderId="0" xfId="0" applyFill="1" applyBorder="1" applyAlignment="1">
      <alignment/>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Border="1" applyAlignment="1">
      <alignment horizontal="center"/>
    </xf>
    <xf numFmtId="0" fontId="0" fillId="11" borderId="0" xfId="0" applyFill="1" applyAlignment="1">
      <alignment/>
    </xf>
    <xf numFmtId="0" fontId="18" fillId="0" borderId="0" xfId="0" applyFont="1" applyFill="1" applyAlignment="1">
      <alignment horizontal="center"/>
    </xf>
    <xf numFmtId="20" fontId="11" fillId="0" borderId="0" xfId="0" applyNumberFormat="1" applyFont="1" applyAlignment="1">
      <alignment horizontal="left"/>
    </xf>
    <xf numFmtId="166" fontId="17" fillId="0" borderId="0" xfId="0" applyNumberFormat="1" applyFont="1" applyFill="1" applyBorder="1" applyAlignment="1" applyProtection="1">
      <alignment horizontal="center" vertical="center" wrapText="1"/>
      <protection hidden="1"/>
    </xf>
    <xf numFmtId="0" fontId="16" fillId="0" borderId="17" xfId="0" applyFont="1" applyFill="1" applyBorder="1" applyAlignment="1" applyProtection="1">
      <alignment horizontal="left" vertical="center"/>
      <protection hidden="1"/>
    </xf>
    <xf numFmtId="0" fontId="0" fillId="0" borderId="0" xfId="0" applyFill="1" applyAlignment="1">
      <alignment horizontal="center" vertical="center"/>
    </xf>
    <xf numFmtId="164" fontId="9" fillId="0" borderId="0" xfId="0" applyNumberFormat="1" applyFont="1" applyBorder="1" applyAlignment="1">
      <alignment horizontal="center"/>
    </xf>
    <xf numFmtId="0" fontId="19" fillId="0" borderId="17" xfId="0" applyFont="1" applyBorder="1" applyAlignment="1">
      <alignment horizontal="right"/>
    </xf>
    <xf numFmtId="2" fontId="0" fillId="0" borderId="0" xfId="0" applyNumberFormat="1" applyAlignment="1">
      <alignment/>
    </xf>
    <xf numFmtId="167" fontId="0" fillId="0" borderId="0" xfId="0" applyNumberFormat="1" applyAlignment="1">
      <alignment/>
    </xf>
    <xf numFmtId="0" fontId="11" fillId="0" borderId="18" xfId="0" applyFont="1" applyFill="1" applyBorder="1" applyAlignment="1">
      <alignment horizontal="center"/>
    </xf>
    <xf numFmtId="14" fontId="0" fillId="0" borderId="0" xfId="0" applyNumberFormat="1" applyAlignment="1">
      <alignment/>
    </xf>
    <xf numFmtId="0" fontId="21" fillId="0" borderId="0" xfId="0" applyFont="1" applyAlignment="1">
      <alignment/>
    </xf>
    <xf numFmtId="0" fontId="22" fillId="0" borderId="0" xfId="0" applyFont="1" applyAlignment="1">
      <alignment/>
    </xf>
    <xf numFmtId="0" fontId="11" fillId="0" borderId="0" xfId="0" applyFont="1" applyAlignment="1">
      <alignment/>
    </xf>
    <xf numFmtId="0" fontId="11" fillId="0" borderId="0" xfId="0" applyFont="1" applyAlignment="1">
      <alignment horizontal="center"/>
    </xf>
    <xf numFmtId="0" fontId="10" fillId="0" borderId="17" xfId="0" applyFont="1" applyBorder="1" applyAlignment="1">
      <alignment horizontal="center"/>
    </xf>
    <xf numFmtId="164" fontId="10" fillId="0" borderId="19" xfId="0" applyNumberFormat="1" applyFont="1" applyBorder="1" applyAlignment="1">
      <alignment horizontal="left"/>
    </xf>
    <xf numFmtId="168" fontId="0" fillId="0" borderId="0" xfId="0" applyNumberFormat="1" applyAlignment="1">
      <alignment/>
    </xf>
    <xf numFmtId="0" fontId="17" fillId="0" borderId="0" xfId="0" applyFont="1" applyBorder="1" applyAlignment="1">
      <alignment horizontal="right"/>
    </xf>
    <xf numFmtId="0" fontId="11" fillId="0" borderId="0" xfId="0" applyFont="1" applyAlignment="1">
      <alignment horizontal="right"/>
    </xf>
    <xf numFmtId="0" fontId="10" fillId="0" borderId="0" xfId="0" applyFont="1" applyAlignment="1">
      <alignment horizontal="right"/>
    </xf>
    <xf numFmtId="168" fontId="10" fillId="0" borderId="20" xfId="0" applyNumberFormat="1" applyFont="1" applyBorder="1" applyAlignment="1">
      <alignment/>
    </xf>
    <xf numFmtId="0" fontId="23" fillId="0" borderId="0" xfId="0" applyFont="1" applyAlignment="1">
      <alignment/>
    </xf>
    <xf numFmtId="0" fontId="10" fillId="0" borderId="0" xfId="0" applyFont="1" applyBorder="1" applyAlignment="1">
      <alignment horizontal="right"/>
    </xf>
    <xf numFmtId="164" fontId="10" fillId="0" borderId="0" xfId="0" applyNumberFormat="1" applyFont="1" applyBorder="1" applyAlignment="1">
      <alignment horizontal="center"/>
    </xf>
    <xf numFmtId="0" fontId="0" fillId="0" borderId="21" xfId="0" applyFont="1" applyBorder="1" applyAlignment="1">
      <alignment/>
    </xf>
    <xf numFmtId="0" fontId="0" fillId="0" borderId="22" xfId="0" applyBorder="1" applyAlignment="1">
      <alignment/>
    </xf>
    <xf numFmtId="0" fontId="0" fillId="0" borderId="23" xfId="0" applyBorder="1" applyAlignment="1">
      <alignment/>
    </xf>
    <xf numFmtId="0" fontId="11" fillId="0" borderId="24" xfId="0" applyFont="1" applyBorder="1" applyAlignment="1">
      <alignment/>
    </xf>
    <xf numFmtId="0" fontId="0" fillId="0" borderId="25" xfId="0" applyBorder="1" applyAlignment="1">
      <alignment/>
    </xf>
    <xf numFmtId="0" fontId="0" fillId="0" borderId="24" xfId="0" applyFont="1" applyBorder="1" applyAlignment="1">
      <alignment/>
    </xf>
    <xf numFmtId="0" fontId="11" fillId="0" borderId="26" xfId="0" applyFont="1" applyBorder="1" applyAlignment="1">
      <alignment/>
    </xf>
    <xf numFmtId="0" fontId="0" fillId="0" borderId="27" xfId="0" applyBorder="1" applyAlignment="1">
      <alignment/>
    </xf>
    <xf numFmtId="0" fontId="0" fillId="0" borderId="28" xfId="0" applyBorder="1" applyAlignment="1">
      <alignment/>
    </xf>
    <xf numFmtId="14" fontId="23" fillId="0" borderId="0" xfId="0" applyNumberFormat="1" applyFont="1" applyAlignment="1">
      <alignment horizontal="center"/>
    </xf>
    <xf numFmtId="0" fontId="24" fillId="0" borderId="0" xfId="0" applyFont="1" applyAlignment="1">
      <alignment/>
    </xf>
    <xf numFmtId="14" fontId="24" fillId="0" borderId="0" xfId="0" applyNumberFormat="1" applyFont="1" applyAlignment="1">
      <alignment horizontal="center"/>
    </xf>
    <xf numFmtId="0" fontId="0" fillId="0" borderId="0" xfId="0" applyFont="1" applyBorder="1" applyAlignment="1">
      <alignment/>
    </xf>
    <xf numFmtId="0" fontId="11" fillId="0" borderId="0" xfId="0" applyFont="1" applyBorder="1" applyAlignment="1">
      <alignment/>
    </xf>
    <xf numFmtId="0" fontId="23" fillId="0" borderId="0" xfId="0" applyFont="1" applyBorder="1" applyAlignment="1">
      <alignment/>
    </xf>
    <xf numFmtId="0" fontId="9" fillId="0" borderId="0" xfId="0" applyFont="1" applyBorder="1" applyAlignment="1">
      <alignment horizontal="center"/>
    </xf>
    <xf numFmtId="0" fontId="17" fillId="0" borderId="25" xfId="0" applyFont="1" applyBorder="1" applyAlignment="1">
      <alignment horizontal="right"/>
    </xf>
    <xf numFmtId="0" fontId="27" fillId="0" borderId="24" xfId="0" applyFont="1" applyBorder="1" applyAlignment="1">
      <alignment horizontal="center"/>
    </xf>
    <xf numFmtId="0" fontId="17" fillId="0" borderId="29" xfId="0" applyFont="1" applyBorder="1" applyAlignment="1">
      <alignment horizontal="center"/>
    </xf>
    <xf numFmtId="0" fontId="17" fillId="0" borderId="30" xfId="0" applyFont="1" applyBorder="1" applyAlignment="1">
      <alignment horizontal="right"/>
    </xf>
    <xf numFmtId="0" fontId="23" fillId="0" borderId="31" xfId="0" applyFont="1" applyBorder="1" applyAlignment="1">
      <alignment horizontal="right"/>
    </xf>
    <xf numFmtId="0" fontId="17" fillId="0" borderId="24" xfId="0" applyFont="1" applyBorder="1" applyAlignment="1" applyProtection="1">
      <alignment vertical="center"/>
      <protection/>
    </xf>
    <xf numFmtId="1" fontId="23" fillId="0" borderId="0" xfId="0" applyNumberFormat="1" applyFont="1" applyBorder="1" applyAlignment="1">
      <alignment/>
    </xf>
    <xf numFmtId="1" fontId="17" fillId="0" borderId="0" xfId="0" applyNumberFormat="1" applyFont="1" applyBorder="1" applyAlignment="1">
      <alignment horizontal="center"/>
    </xf>
    <xf numFmtId="1" fontId="23" fillId="0" borderId="24" xfId="0" applyNumberFormat="1" applyFont="1" applyBorder="1" applyAlignment="1">
      <alignment/>
    </xf>
    <xf numFmtId="0" fontId="17" fillId="0" borderId="25" xfId="0" applyFont="1" applyBorder="1" applyAlignment="1">
      <alignment horizontal="center"/>
    </xf>
    <xf numFmtId="0" fontId="17" fillId="0" borderId="24" xfId="0" applyFont="1" applyBorder="1" applyAlignment="1">
      <alignment horizontal="right"/>
    </xf>
    <xf numFmtId="164" fontId="17" fillId="0" borderId="0" xfId="0" applyNumberFormat="1" applyFont="1" applyBorder="1" applyAlignment="1">
      <alignment horizontal="center"/>
    </xf>
    <xf numFmtId="0" fontId="26" fillId="0" borderId="0" xfId="0" applyFont="1" applyFill="1" applyBorder="1" applyAlignment="1">
      <alignment horizontal="center"/>
    </xf>
    <xf numFmtId="0" fontId="23" fillId="0" borderId="31" xfId="0" applyFont="1" applyBorder="1" applyAlignment="1" applyProtection="1">
      <alignment horizontal="center" vertical="center"/>
      <protection/>
    </xf>
    <xf numFmtId="0" fontId="17" fillId="0" borderId="32" xfId="0" applyFont="1" applyBorder="1" applyAlignment="1" applyProtection="1">
      <alignment vertical="center"/>
      <protection/>
    </xf>
    <xf numFmtId="0" fontId="0" fillId="0" borderId="33" xfId="0" applyBorder="1" applyAlignment="1">
      <alignment/>
    </xf>
    <xf numFmtId="0" fontId="0" fillId="0" borderId="34" xfId="0" applyBorder="1" applyAlignment="1">
      <alignment/>
    </xf>
    <xf numFmtId="0" fontId="0" fillId="0" borderId="35" xfId="0" applyFont="1" applyBorder="1" applyAlignment="1">
      <alignment/>
    </xf>
    <xf numFmtId="0" fontId="30" fillId="0" borderId="36" xfId="0" applyFont="1" applyBorder="1" applyAlignment="1">
      <alignment/>
    </xf>
    <xf numFmtId="0" fontId="30" fillId="0" borderId="37" xfId="0" applyFont="1" applyBorder="1" applyAlignment="1">
      <alignment/>
    </xf>
    <xf numFmtId="0" fontId="30" fillId="0" borderId="29" xfId="0" applyFont="1" applyBorder="1" applyAlignment="1">
      <alignment/>
    </xf>
    <xf numFmtId="0" fontId="29" fillId="0" borderId="38" xfId="0" applyFont="1" applyBorder="1" applyAlignment="1">
      <alignment/>
    </xf>
    <xf numFmtId="0" fontId="0" fillId="0" borderId="39" xfId="0" applyBorder="1" applyAlignment="1">
      <alignment/>
    </xf>
    <xf numFmtId="0" fontId="0" fillId="0" borderId="36" xfId="0" applyBorder="1" applyAlignment="1">
      <alignment/>
    </xf>
    <xf numFmtId="0" fontId="30" fillId="0" borderId="40" xfId="0" applyFont="1" applyBorder="1" applyAlignment="1">
      <alignment/>
    </xf>
    <xf numFmtId="0" fontId="29" fillId="0" borderId="40" xfId="0" applyFont="1" applyBorder="1" applyAlignment="1">
      <alignment horizontal="right"/>
    </xf>
    <xf numFmtId="0" fontId="29" fillId="0" borderId="40" xfId="0" applyFont="1" applyBorder="1" applyAlignment="1">
      <alignment/>
    </xf>
    <xf numFmtId="0" fontId="30" fillId="0" borderId="38" xfId="0" applyFont="1" applyBorder="1" applyAlignment="1">
      <alignment/>
    </xf>
    <xf numFmtId="0" fontId="29" fillId="0" borderId="39" xfId="0" applyFont="1" applyBorder="1" applyAlignment="1">
      <alignment horizontal="left"/>
    </xf>
    <xf numFmtId="0" fontId="31" fillId="0" borderId="40" xfId="0" applyFont="1" applyBorder="1" applyAlignment="1">
      <alignment horizontal="right"/>
    </xf>
    <xf numFmtId="0" fontId="31" fillId="0" borderId="40" xfId="0" applyFont="1" applyBorder="1" applyAlignment="1">
      <alignment/>
    </xf>
    <xf numFmtId="0" fontId="30" fillId="0" borderId="38" xfId="0" applyFont="1" applyBorder="1" applyAlignment="1">
      <alignment/>
    </xf>
    <xf numFmtId="0" fontId="31" fillId="0" borderId="39" xfId="0" applyFont="1" applyBorder="1" applyAlignment="1">
      <alignment/>
    </xf>
    <xf numFmtId="0" fontId="0" fillId="0" borderId="41" xfId="0" applyBorder="1" applyAlignment="1">
      <alignment/>
    </xf>
    <xf numFmtId="0" fontId="29" fillId="0" borderId="40" xfId="0" applyNumberFormat="1" applyFont="1" applyBorder="1" applyAlignment="1">
      <alignment horizontal="right"/>
    </xf>
    <xf numFmtId="0" fontId="0" fillId="0" borderId="40" xfId="0" applyBorder="1" applyAlignment="1">
      <alignment/>
    </xf>
    <xf numFmtId="0" fontId="30" fillId="0" borderId="42" xfId="0" applyFont="1" applyBorder="1" applyAlignment="1">
      <alignment/>
    </xf>
    <xf numFmtId="0" fontId="29" fillId="0" borderId="43" xfId="0" applyFont="1" applyBorder="1" applyAlignment="1">
      <alignment/>
    </xf>
    <xf numFmtId="0" fontId="29" fillId="0" borderId="44" xfId="0" applyFont="1" applyBorder="1" applyAlignment="1">
      <alignment/>
    </xf>
    <xf numFmtId="0" fontId="32" fillId="0" borderId="45" xfId="0" applyFont="1" applyBorder="1" applyAlignment="1">
      <alignment horizontal="center"/>
    </xf>
    <xf numFmtId="164" fontId="33" fillId="0" borderId="0" xfId="554" applyNumberFormat="1" applyFont="1" applyFill="1" applyBorder="1" applyAlignment="1" applyProtection="1">
      <alignment horizontal="center"/>
      <protection/>
    </xf>
    <xf numFmtId="0" fontId="32" fillId="0" borderId="0" xfId="0" applyFont="1" applyAlignment="1">
      <alignment/>
    </xf>
    <xf numFmtId="0" fontId="30" fillId="0" borderId="0" xfId="0" applyFont="1" applyAlignment="1">
      <alignment/>
    </xf>
    <xf numFmtId="0" fontId="30" fillId="0" borderId="27" xfId="0" applyFont="1" applyBorder="1" applyAlignment="1">
      <alignment/>
    </xf>
    <xf numFmtId="0" fontId="32" fillId="0" borderId="27" xfId="0" applyFont="1" applyBorder="1" applyAlignment="1">
      <alignment/>
    </xf>
    <xf numFmtId="0" fontId="23" fillId="0" borderId="26" xfId="0" applyFont="1" applyBorder="1" applyAlignment="1">
      <alignment/>
    </xf>
    <xf numFmtId="0" fontId="19" fillId="0" borderId="0" xfId="0" applyFont="1" applyAlignment="1">
      <alignment horizontal="right"/>
    </xf>
    <xf numFmtId="1" fontId="19" fillId="0" borderId="0" xfId="0" applyNumberFormat="1" applyFont="1" applyFill="1" applyAlignment="1">
      <alignment horizontal="center"/>
    </xf>
    <xf numFmtId="0" fontId="19" fillId="0" borderId="27" xfId="0" applyFont="1" applyFill="1" applyBorder="1" applyAlignment="1" applyProtection="1">
      <alignment horizontal="left" vertical="center"/>
      <protection hidden="1"/>
    </xf>
    <xf numFmtId="164" fontId="33" fillId="0" borderId="46" xfId="554" applyNumberFormat="1" applyFont="1" applyFill="1" applyBorder="1" applyAlignment="1" applyProtection="1">
      <alignment horizontal="center"/>
      <protection/>
    </xf>
    <xf numFmtId="0" fontId="16" fillId="11" borderId="47" xfId="0" applyFont="1" applyFill="1" applyBorder="1" applyAlignment="1" applyProtection="1">
      <alignment horizontal="left" vertical="center"/>
      <protection hidden="1"/>
    </xf>
    <xf numFmtId="0" fontId="34" fillId="11" borderId="19" xfId="0" applyFont="1" applyFill="1" applyBorder="1" applyAlignment="1" applyProtection="1">
      <alignment horizontal="left" vertical="center"/>
      <protection hidden="1"/>
    </xf>
    <xf numFmtId="0" fontId="16" fillId="11" borderId="16" xfId="0" applyFont="1" applyFill="1" applyBorder="1" applyAlignment="1" applyProtection="1">
      <alignment horizontal="left" vertical="center"/>
      <protection hidden="1"/>
    </xf>
    <xf numFmtId="0" fontId="16" fillId="11" borderId="21" xfId="0" applyFont="1" applyFill="1" applyBorder="1" applyAlignment="1" applyProtection="1">
      <alignment horizontal="left" vertical="center"/>
      <protection hidden="1"/>
    </xf>
    <xf numFmtId="0" fontId="16" fillId="11" borderId="17" xfId="0" applyFont="1" applyFill="1" applyBorder="1" applyAlignment="1" applyProtection="1">
      <alignment horizontal="left" vertical="center"/>
      <protection hidden="1"/>
    </xf>
    <xf numFmtId="0" fontId="34" fillId="23" borderId="19" xfId="0" applyFont="1" applyFill="1" applyBorder="1" applyAlignment="1" applyProtection="1">
      <alignment horizontal="left" vertical="center"/>
      <protection hidden="1"/>
    </xf>
    <xf numFmtId="0" fontId="16" fillId="23" borderId="16" xfId="0" applyFont="1" applyFill="1" applyBorder="1" applyAlignment="1" applyProtection="1">
      <alignment horizontal="left" vertical="center"/>
      <protection hidden="1"/>
    </xf>
    <xf numFmtId="0" fontId="16" fillId="23" borderId="17" xfId="0" applyFont="1" applyFill="1" applyBorder="1" applyAlignment="1" applyProtection="1">
      <alignment horizontal="left" vertical="center"/>
      <protection hidden="1"/>
    </xf>
    <xf numFmtId="0" fontId="17" fillId="23" borderId="19" xfId="0" applyFont="1" applyFill="1" applyBorder="1" applyAlignment="1" applyProtection="1">
      <alignment horizontal="center" vertical="center"/>
      <protection hidden="1"/>
    </xf>
    <xf numFmtId="0" fontId="35" fillId="0" borderId="48" xfId="546" applyFont="1" applyFill="1" applyBorder="1" applyProtection="1">
      <alignment horizontal="center"/>
      <protection locked="0"/>
    </xf>
    <xf numFmtId="0" fontId="17" fillId="0" borderId="48" xfId="606" applyFont="1" applyFill="1" applyBorder="1" applyProtection="1">
      <alignment/>
      <protection locked="0"/>
    </xf>
    <xf numFmtId="0" fontId="17" fillId="0" borderId="49" xfId="606" applyFont="1" applyFill="1" applyBorder="1" applyProtection="1">
      <alignment/>
      <protection locked="0"/>
    </xf>
    <xf numFmtId="0" fontId="0" fillId="0" borderId="50" xfId="0" applyBorder="1" applyAlignment="1">
      <alignment/>
    </xf>
    <xf numFmtId="0" fontId="17" fillId="0" borderId="51" xfId="606" applyFont="1" applyFill="1" applyBorder="1" applyProtection="1">
      <alignment/>
      <protection locked="0"/>
    </xf>
    <xf numFmtId="0" fontId="28" fillId="0" borderId="49" xfId="546" applyFont="1" applyFill="1" applyBorder="1" applyProtection="1">
      <alignment horizontal="center"/>
      <protection locked="0"/>
    </xf>
    <xf numFmtId="0" fontId="11" fillId="0" borderId="29" xfId="0" applyFont="1" applyBorder="1" applyAlignment="1">
      <alignment/>
    </xf>
    <xf numFmtId="0" fontId="26" fillId="0" borderId="51" xfId="606" applyFont="1" applyFill="1" applyBorder="1" applyProtection="1">
      <alignment/>
      <protection locked="0"/>
    </xf>
    <xf numFmtId="0" fontId="0" fillId="0" borderId="29" xfId="0" applyBorder="1" applyAlignment="1">
      <alignment/>
    </xf>
    <xf numFmtId="0" fontId="0" fillId="0" borderId="52" xfId="0" applyBorder="1" applyAlignment="1">
      <alignment/>
    </xf>
    <xf numFmtId="14" fontId="17" fillId="0" borderId="49" xfId="606" applyNumberFormat="1" applyFont="1" applyFill="1" applyBorder="1" applyProtection="1">
      <alignment/>
      <protection locked="0"/>
    </xf>
    <xf numFmtId="0" fontId="17" fillId="0" borderId="49" xfId="606" applyFont="1" applyFill="1" applyBorder="1" applyAlignment="1" applyProtection="1">
      <alignment/>
      <protection locked="0"/>
    </xf>
    <xf numFmtId="0" fontId="17" fillId="0" borderId="53" xfId="606" applyFont="1" applyFill="1" applyBorder="1" applyProtection="1">
      <alignment/>
      <protection locked="0"/>
    </xf>
    <xf numFmtId="0" fontId="17" fillId="0" borderId="54" xfId="606" applyFont="1" applyFill="1" applyBorder="1" applyProtection="1">
      <alignment/>
      <protection locked="0"/>
    </xf>
    <xf numFmtId="0" fontId="17" fillId="0" borderId="55" xfId="606" applyFont="1" applyFill="1" applyBorder="1" applyProtection="1">
      <alignment/>
      <protection locked="0"/>
    </xf>
    <xf numFmtId="0" fontId="0" fillId="0" borderId="56" xfId="0" applyBorder="1" applyAlignment="1">
      <alignment/>
    </xf>
    <xf numFmtId="0" fontId="0" fillId="0" borderId="57" xfId="0" applyBorder="1" applyAlignment="1">
      <alignment/>
    </xf>
    <xf numFmtId="0" fontId="9" fillId="0" borderId="52" xfId="0" applyFont="1" applyBorder="1" applyAlignment="1">
      <alignment/>
    </xf>
    <xf numFmtId="0" fontId="0" fillId="0" borderId="58" xfId="0" applyBorder="1" applyAlignment="1">
      <alignment/>
    </xf>
    <xf numFmtId="0" fontId="10" fillId="0" borderId="52" xfId="0" applyFont="1" applyBorder="1" applyAlignment="1">
      <alignment/>
    </xf>
    <xf numFmtId="0" fontId="0" fillId="0" borderId="59" xfId="0" applyBorder="1" applyAlignment="1">
      <alignment/>
    </xf>
    <xf numFmtId="0" fontId="0" fillId="0" borderId="60" xfId="0" applyFont="1" applyBorder="1" applyAlignment="1">
      <alignment/>
    </xf>
    <xf numFmtId="0" fontId="10" fillId="0" borderId="0" xfId="0" applyFont="1" applyBorder="1" applyAlignment="1">
      <alignment horizontal="center"/>
    </xf>
    <xf numFmtId="0" fontId="0" fillId="0" borderId="0" xfId="0" applyFont="1" applyBorder="1" applyAlignment="1">
      <alignment horizontal="center"/>
    </xf>
    <xf numFmtId="20" fontId="10" fillId="0" borderId="45" xfId="0" applyNumberFormat="1" applyFont="1" applyBorder="1" applyAlignment="1">
      <alignment horizontal="right"/>
    </xf>
    <xf numFmtId="0" fontId="11" fillId="0" borderId="0" xfId="0" applyFont="1" applyBorder="1" applyAlignment="1">
      <alignment horizontal="center"/>
    </xf>
    <xf numFmtId="0" fontId="11" fillId="0" borderId="46" xfId="0" applyFont="1" applyBorder="1" applyAlignment="1">
      <alignment horizontal="left"/>
    </xf>
    <xf numFmtId="0" fontId="0" fillId="0" borderId="0" xfId="0" applyBorder="1" applyAlignment="1">
      <alignment horizontal="right"/>
    </xf>
    <xf numFmtId="22" fontId="11" fillId="0" borderId="0" xfId="0" applyNumberFormat="1" applyFont="1" applyBorder="1" applyAlignment="1">
      <alignment/>
    </xf>
    <xf numFmtId="0" fontId="0" fillId="11" borderId="38" xfId="0" applyFill="1" applyBorder="1" applyAlignment="1">
      <alignment/>
    </xf>
    <xf numFmtId="0" fontId="38" fillId="11" borderId="39" xfId="0" applyFont="1" applyFill="1" applyBorder="1" applyAlignment="1">
      <alignment horizontal="center"/>
    </xf>
    <xf numFmtId="0" fontId="38" fillId="11" borderId="40" xfId="0" applyFont="1" applyFill="1" applyBorder="1" applyAlignment="1">
      <alignment horizontal="center"/>
    </xf>
    <xf numFmtId="0" fontId="39" fillId="0" borderId="0" xfId="0" applyFont="1" applyBorder="1" applyAlignment="1">
      <alignment/>
    </xf>
    <xf numFmtId="0" fontId="11" fillId="0" borderId="25" xfId="0" applyFont="1" applyBorder="1" applyAlignment="1">
      <alignment/>
    </xf>
    <xf numFmtId="22" fontId="10" fillId="0" borderId="61" xfId="0" applyNumberFormat="1" applyFont="1" applyBorder="1" applyAlignment="1">
      <alignment/>
    </xf>
    <xf numFmtId="0" fontId="0" fillId="23" borderId="38" xfId="0" applyFill="1" applyBorder="1" applyAlignment="1">
      <alignment/>
    </xf>
    <xf numFmtId="0" fontId="38" fillId="23" borderId="40" xfId="0" applyFont="1" applyFill="1" applyBorder="1" applyAlignment="1">
      <alignment horizontal="center"/>
    </xf>
    <xf numFmtId="0" fontId="38" fillId="23" borderId="39" xfId="0" applyFont="1" applyFill="1" applyBorder="1" applyAlignment="1">
      <alignment horizontal="center"/>
    </xf>
    <xf numFmtId="0" fontId="0" fillId="0" borderId="37" xfId="0" applyBorder="1" applyAlignment="1">
      <alignment/>
    </xf>
    <xf numFmtId="0" fontId="23" fillId="0" borderId="29" xfId="0" applyFont="1" applyBorder="1" applyAlignment="1">
      <alignment/>
    </xf>
    <xf numFmtId="0" fontId="0" fillId="0" borderId="30" xfId="0" applyBorder="1" applyAlignment="1">
      <alignment/>
    </xf>
    <xf numFmtId="0" fontId="11" fillId="0" borderId="30" xfId="0" applyFont="1" applyBorder="1" applyAlignment="1">
      <alignment/>
    </xf>
    <xf numFmtId="0" fontId="17" fillId="0" borderId="0" xfId="0" applyFont="1" applyAlignment="1">
      <alignment vertical="top" wrapText="1"/>
    </xf>
    <xf numFmtId="0" fontId="0" fillId="0" borderId="0" xfId="0" applyAlignment="1">
      <alignment vertical="top" wrapText="1"/>
    </xf>
    <xf numFmtId="0" fontId="0" fillId="39" borderId="38" xfId="0" applyFill="1" applyBorder="1" applyAlignment="1">
      <alignment/>
    </xf>
    <xf numFmtId="0" fontId="38" fillId="39" borderId="40" xfId="0" applyFont="1" applyFill="1" applyBorder="1" applyAlignment="1">
      <alignment horizontal="center"/>
    </xf>
    <xf numFmtId="0" fontId="38" fillId="39" borderId="39" xfId="0" applyFont="1" applyFill="1" applyBorder="1" applyAlignment="1">
      <alignment horizontal="center"/>
    </xf>
    <xf numFmtId="0" fontId="39" fillId="0" borderId="0" xfId="0" applyFont="1" applyAlignment="1">
      <alignment/>
    </xf>
    <xf numFmtId="0" fontId="10" fillId="0" borderId="61" xfId="0" applyFont="1" applyBorder="1" applyAlignment="1">
      <alignment/>
    </xf>
    <xf numFmtId="0" fontId="0" fillId="0" borderId="31" xfId="0" applyBorder="1" applyAlignment="1">
      <alignment/>
    </xf>
    <xf numFmtId="0" fontId="10" fillId="0" borderId="0" xfId="0" applyFont="1" applyBorder="1" applyAlignment="1">
      <alignment/>
    </xf>
    <xf numFmtId="0" fontId="0" fillId="0" borderId="26" xfId="0" applyBorder="1" applyAlignment="1">
      <alignment/>
    </xf>
    <xf numFmtId="0" fontId="11" fillId="0" borderId="27" xfId="0" applyFont="1" applyBorder="1" applyAlignment="1">
      <alignment/>
    </xf>
    <xf numFmtId="1" fontId="0" fillId="0" borderId="0" xfId="0" applyNumberFormat="1" applyAlignment="1">
      <alignment/>
    </xf>
    <xf numFmtId="0" fontId="17" fillId="0" borderId="18" xfId="0" applyFont="1" applyFill="1" applyBorder="1" applyAlignment="1">
      <alignment horizontal="center"/>
    </xf>
    <xf numFmtId="1" fontId="0" fillId="0" borderId="14" xfId="0" applyNumberFormat="1" applyFont="1" applyFill="1" applyBorder="1" applyAlignment="1">
      <alignment horizontal="center"/>
    </xf>
    <xf numFmtId="0" fontId="0" fillId="0" borderId="0" xfId="596" applyFont="1">
      <alignment/>
      <protection/>
    </xf>
    <xf numFmtId="0" fontId="0" fillId="0" borderId="0" xfId="596">
      <alignment/>
      <protection/>
    </xf>
    <xf numFmtId="0" fontId="0" fillId="0" borderId="0" xfId="596" applyAlignment="1">
      <alignment horizontal="right"/>
      <protection/>
    </xf>
    <xf numFmtId="0" fontId="11" fillId="0" borderId="0" xfId="596" applyFont="1" applyAlignment="1">
      <alignment horizontal="right"/>
      <protection/>
    </xf>
    <xf numFmtId="0" fontId="39" fillId="0" borderId="0" xfId="596" applyFont="1">
      <alignment/>
      <protection/>
    </xf>
    <xf numFmtId="0" fontId="10" fillId="0" borderId="0" xfId="596" applyFont="1" applyAlignment="1">
      <alignment horizontal="center"/>
      <protection/>
    </xf>
    <xf numFmtId="0" fontId="10" fillId="0" borderId="0" xfId="596" applyFont="1" applyAlignment="1">
      <alignment/>
      <protection/>
    </xf>
    <xf numFmtId="0" fontId="11" fillId="0" borderId="0" xfId="596" applyFont="1" applyAlignment="1">
      <alignment horizontal="center"/>
      <protection/>
    </xf>
    <xf numFmtId="14" fontId="0" fillId="0" borderId="0" xfId="596" applyNumberFormat="1" applyBorder="1">
      <alignment/>
      <protection/>
    </xf>
    <xf numFmtId="2" fontId="0" fillId="0" borderId="0" xfId="596" applyNumberFormat="1" applyBorder="1" applyAlignment="1">
      <alignment horizontal="center"/>
      <protection/>
    </xf>
    <xf numFmtId="14" fontId="0" fillId="0" borderId="0" xfId="596" applyNumberFormat="1" applyFont="1" applyBorder="1">
      <alignment/>
      <protection/>
    </xf>
    <xf numFmtId="2" fontId="0" fillId="0" borderId="0" xfId="596" applyNumberFormat="1" applyFont="1" applyBorder="1" applyAlignment="1">
      <alignment horizontal="center"/>
      <protection/>
    </xf>
    <xf numFmtId="14" fontId="10" fillId="0" borderId="62" xfId="596" applyNumberFormat="1" applyFont="1" applyBorder="1">
      <alignment/>
      <protection/>
    </xf>
    <xf numFmtId="2" fontId="10" fillId="0" borderId="63" xfId="596" applyNumberFormat="1" applyFont="1" applyBorder="1" applyAlignment="1">
      <alignment horizontal="center"/>
      <protection/>
    </xf>
    <xf numFmtId="0" fontId="10" fillId="0" borderId="0" xfId="596" applyFont="1">
      <alignment/>
      <protection/>
    </xf>
    <xf numFmtId="14" fontId="0" fillId="0" borderId="64" xfId="596" applyNumberFormat="1" applyBorder="1">
      <alignment/>
      <protection/>
    </xf>
    <xf numFmtId="2" fontId="0" fillId="0" borderId="65" xfId="596" applyNumberFormat="1" applyBorder="1" applyAlignment="1">
      <alignment horizontal="center"/>
      <protection/>
    </xf>
    <xf numFmtId="0" fontId="10" fillId="0" borderId="0" xfId="595" applyFont="1">
      <alignment/>
      <protection/>
    </xf>
    <xf numFmtId="14" fontId="0" fillId="0" borderId="0" xfId="596" applyNumberFormat="1">
      <alignment/>
      <protection/>
    </xf>
    <xf numFmtId="2" fontId="0" fillId="0" borderId="0" xfId="596" applyNumberFormat="1" applyAlignment="1">
      <alignment horizontal="center"/>
      <protection/>
    </xf>
    <xf numFmtId="0" fontId="32" fillId="0" borderId="0" xfId="595" applyFont="1" applyBorder="1">
      <alignment/>
      <protection/>
    </xf>
    <xf numFmtId="0" fontId="0" fillId="0" borderId="0" xfId="595" applyBorder="1">
      <alignment/>
      <protection/>
    </xf>
    <xf numFmtId="0" fontId="17" fillId="0" borderId="66" xfId="595" applyFont="1" applyBorder="1" applyAlignment="1">
      <alignment horizontal="center"/>
      <protection/>
    </xf>
    <xf numFmtId="0" fontId="17" fillId="0" borderId="52" xfId="595" applyFont="1" applyBorder="1" applyAlignment="1">
      <alignment horizontal="center"/>
      <protection/>
    </xf>
    <xf numFmtId="0" fontId="17" fillId="0" borderId="52" xfId="595" applyFont="1" applyFill="1" applyBorder="1" applyAlignment="1">
      <alignment horizontal="center"/>
      <protection/>
    </xf>
    <xf numFmtId="0" fontId="0" fillId="0" borderId="66" xfId="595" applyBorder="1">
      <alignment/>
      <protection/>
    </xf>
    <xf numFmtId="0" fontId="0" fillId="0" borderId="0" xfId="596" applyBorder="1">
      <alignment/>
      <protection/>
    </xf>
    <xf numFmtId="0" fontId="32" fillId="0" borderId="0" xfId="595" applyFont="1" applyBorder="1" applyAlignment="1">
      <alignment horizontal="center"/>
      <protection/>
    </xf>
    <xf numFmtId="0" fontId="17" fillId="0" borderId="67" xfId="595" applyFont="1" applyBorder="1" applyAlignment="1">
      <alignment horizontal="center"/>
      <protection/>
    </xf>
    <xf numFmtId="0" fontId="17" fillId="0" borderId="0" xfId="595" applyFont="1" applyBorder="1" applyAlignment="1">
      <alignment horizontal="center"/>
      <protection/>
    </xf>
    <xf numFmtId="0" fontId="16" fillId="0" borderId="0" xfId="595" applyFont="1" applyBorder="1" applyAlignment="1">
      <alignment horizontal="center"/>
      <protection/>
    </xf>
    <xf numFmtId="0" fontId="16" fillId="0" borderId="0" xfId="595" applyFont="1" applyFill="1" applyBorder="1" applyAlignment="1">
      <alignment horizontal="center"/>
      <protection/>
    </xf>
    <xf numFmtId="0" fontId="17" fillId="0" borderId="0" xfId="595" applyFont="1" applyFill="1" applyBorder="1" applyAlignment="1">
      <alignment horizontal="center"/>
      <protection/>
    </xf>
    <xf numFmtId="0" fontId="0" fillId="0" borderId="67" xfId="595" applyBorder="1">
      <alignment/>
      <protection/>
    </xf>
    <xf numFmtId="0" fontId="16" fillId="0" borderId="0" xfId="595" applyFont="1" applyFill="1" applyBorder="1" applyAlignment="1" applyProtection="1">
      <alignment horizontal="center"/>
      <protection locked="0"/>
    </xf>
    <xf numFmtId="0" fontId="27" fillId="0" borderId="0" xfId="595" applyFont="1" applyBorder="1" applyAlignment="1">
      <alignment horizontal="center"/>
      <protection/>
    </xf>
    <xf numFmtId="0" fontId="17" fillId="0" borderId="68" xfId="595" applyFont="1" applyFill="1" applyBorder="1" applyAlignment="1" applyProtection="1">
      <alignment horizontal="center"/>
      <protection locked="0"/>
    </xf>
    <xf numFmtId="0" fontId="17" fillId="0" borderId="69" xfId="595" applyFont="1" applyFill="1" applyBorder="1" applyAlignment="1" applyProtection="1">
      <alignment horizontal="center"/>
      <protection locked="0"/>
    </xf>
    <xf numFmtId="0" fontId="0" fillId="0" borderId="68" xfId="595" applyFill="1" applyBorder="1">
      <alignment/>
      <protection/>
    </xf>
    <xf numFmtId="0" fontId="17" fillId="0" borderId="70" xfId="595" applyFont="1" applyBorder="1" applyAlignment="1">
      <alignment horizontal="center"/>
      <protection/>
    </xf>
    <xf numFmtId="0" fontId="11" fillId="0" borderId="67" xfId="595" applyFont="1" applyBorder="1" applyAlignment="1">
      <alignment horizontal="center"/>
      <protection/>
    </xf>
    <xf numFmtId="0" fontId="11" fillId="0" borderId="67" xfId="595" applyFont="1" applyBorder="1">
      <alignment/>
      <protection/>
    </xf>
    <xf numFmtId="0" fontId="11" fillId="0" borderId="0" xfId="595" applyFont="1" applyBorder="1">
      <alignment/>
      <protection/>
    </xf>
    <xf numFmtId="0" fontId="11" fillId="0" borderId="0" xfId="595" applyFont="1" applyBorder="1" applyAlignment="1">
      <alignment horizontal="center"/>
      <protection/>
    </xf>
    <xf numFmtId="0" fontId="11" fillId="0" borderId="71" xfId="595" applyFont="1" applyBorder="1">
      <alignment/>
      <protection/>
    </xf>
    <xf numFmtId="0" fontId="11" fillId="0" borderId="29" xfId="595" applyFont="1" applyBorder="1">
      <alignment/>
      <protection/>
    </xf>
    <xf numFmtId="0" fontId="0" fillId="0" borderId="71" xfId="595" applyBorder="1">
      <alignment/>
      <protection/>
    </xf>
    <xf numFmtId="0" fontId="0" fillId="49" borderId="0" xfId="598" applyFill="1">
      <alignment/>
      <protection/>
    </xf>
    <xf numFmtId="0" fontId="0" fillId="0" borderId="0" xfId="598">
      <alignment/>
      <protection/>
    </xf>
    <xf numFmtId="0" fontId="0" fillId="0" borderId="0" xfId="598" applyFont="1" applyFill="1" applyBorder="1" applyAlignment="1">
      <alignment horizontal="center" vertical="center"/>
      <protection/>
    </xf>
    <xf numFmtId="0" fontId="11" fillId="0" borderId="0" xfId="598" applyFont="1">
      <alignment/>
      <protection/>
    </xf>
    <xf numFmtId="0" fontId="0" fillId="18" borderId="0" xfId="598" applyFill="1" applyBorder="1">
      <alignment/>
      <protection/>
    </xf>
    <xf numFmtId="0" fontId="18" fillId="0" borderId="0" xfId="598" applyFont="1" applyFill="1" applyAlignment="1">
      <alignment horizontal="center"/>
      <protection/>
    </xf>
    <xf numFmtId="0" fontId="38" fillId="48" borderId="0" xfId="0" applyFont="1" applyFill="1" applyBorder="1" applyAlignment="1">
      <alignment horizontal="center" vertical="center"/>
    </xf>
    <xf numFmtId="0" fontId="24" fillId="0" borderId="0" xfId="597" applyFont="1">
      <alignment/>
      <protection/>
    </xf>
    <xf numFmtId="14" fontId="24" fillId="0" borderId="0" xfId="597" applyNumberFormat="1" applyFont="1" applyAlignment="1">
      <alignment horizontal="center"/>
      <protection/>
    </xf>
    <xf numFmtId="0" fontId="17" fillId="0" borderId="0" xfId="0" applyFont="1" applyBorder="1" applyAlignment="1">
      <alignment horizontal="center"/>
    </xf>
    <xf numFmtId="0" fontId="23" fillId="39" borderId="0" xfId="0" applyFont="1" applyFill="1" applyBorder="1" applyAlignment="1">
      <alignment/>
    </xf>
    <xf numFmtId="1" fontId="23" fillId="0" borderId="72" xfId="0" applyNumberFormat="1" applyFont="1" applyBorder="1" applyAlignment="1">
      <alignment/>
    </xf>
    <xf numFmtId="0" fontId="23" fillId="0" borderId="0" xfId="0" applyFont="1" applyFill="1" applyBorder="1" applyAlignment="1">
      <alignment/>
    </xf>
    <xf numFmtId="0" fontId="23" fillId="39" borderId="73" xfId="0" applyFont="1" applyFill="1" applyBorder="1" applyAlignment="1">
      <alignment/>
    </xf>
    <xf numFmtId="0" fontId="9" fillId="0" borderId="25" xfId="0" applyFont="1" applyBorder="1" applyAlignment="1" applyProtection="1">
      <alignment vertical="center"/>
      <protection/>
    </xf>
    <xf numFmtId="0" fontId="23" fillId="50" borderId="0" xfId="0" applyFont="1" applyFill="1" applyBorder="1" applyAlignment="1">
      <alignment/>
    </xf>
    <xf numFmtId="0" fontId="70" fillId="0" borderId="0" xfId="605" applyFont="1" applyFill="1" applyProtection="1">
      <alignment/>
      <protection/>
    </xf>
    <xf numFmtId="0" fontId="0" fillId="0" borderId="0" xfId="605" applyFont="1" applyProtection="1">
      <alignment/>
      <protection/>
    </xf>
    <xf numFmtId="0" fontId="10" fillId="0" borderId="0" xfId="605" applyFont="1" applyProtection="1">
      <alignment/>
      <protection/>
    </xf>
    <xf numFmtId="0" fontId="0" fillId="0" borderId="0" xfId="605" applyFont="1">
      <alignment/>
      <protection/>
    </xf>
    <xf numFmtId="0" fontId="10" fillId="14" borderId="0" xfId="605" applyFont="1" applyFill="1" applyProtection="1">
      <alignment/>
      <protection/>
    </xf>
    <xf numFmtId="0" fontId="0" fillId="0" borderId="0" xfId="605" applyFont="1" applyFill="1" applyAlignment="1" applyProtection="1">
      <alignment horizontal="left"/>
      <protection/>
    </xf>
    <xf numFmtId="0" fontId="0" fillId="0" borderId="0" xfId="605" applyFont="1" applyFill="1" applyProtection="1">
      <alignment/>
      <protection/>
    </xf>
    <xf numFmtId="0" fontId="10" fillId="0" borderId="0" xfId="605" applyFont="1" applyFill="1" applyProtection="1">
      <alignment/>
      <protection/>
    </xf>
    <xf numFmtId="0" fontId="0" fillId="44" borderId="0" xfId="605" applyFill="1" applyProtection="1">
      <alignment/>
      <protection locked="0"/>
    </xf>
    <xf numFmtId="0" fontId="0" fillId="14" borderId="0" xfId="605" applyFont="1" applyFill="1" applyAlignment="1" applyProtection="1">
      <alignment horizontal="center"/>
      <protection/>
    </xf>
    <xf numFmtId="170" fontId="0" fillId="44" borderId="0" xfId="605" applyNumberFormat="1" applyFill="1" applyAlignment="1" applyProtection="1">
      <alignment horizontal="center"/>
      <protection locked="0"/>
    </xf>
    <xf numFmtId="170" fontId="0" fillId="14" borderId="0" xfId="605" applyNumberFormat="1" applyFont="1" applyFill="1" applyAlignment="1" applyProtection="1">
      <alignment horizontal="center"/>
      <protection/>
    </xf>
    <xf numFmtId="0" fontId="71" fillId="14" borderId="74" xfId="605" applyFont="1" applyFill="1" applyBorder="1" applyAlignment="1" applyProtection="1">
      <alignment horizontal="center" vertical="center"/>
      <protection/>
    </xf>
    <xf numFmtId="0" fontId="71" fillId="14" borderId="75" xfId="605" applyFont="1" applyFill="1" applyBorder="1" applyAlignment="1" applyProtection="1">
      <alignment horizontal="center" vertical="center"/>
      <protection/>
    </xf>
    <xf numFmtId="0" fontId="71" fillId="14" borderId="76" xfId="605" applyFont="1" applyFill="1" applyBorder="1" applyAlignment="1" applyProtection="1">
      <alignment horizontal="center" vertical="center"/>
      <protection/>
    </xf>
    <xf numFmtId="0" fontId="71" fillId="14" borderId="77" xfId="605" applyFont="1" applyFill="1" applyBorder="1" applyAlignment="1" applyProtection="1">
      <alignment vertical="center"/>
      <protection/>
    </xf>
    <xf numFmtId="0" fontId="30" fillId="44" borderId="78" xfId="605" applyFont="1" applyFill="1" applyBorder="1" applyAlignment="1" applyProtection="1">
      <alignment horizontal="center" vertical="center"/>
      <protection locked="0"/>
    </xf>
    <xf numFmtId="0" fontId="30" fillId="44" borderId="79" xfId="605" applyFont="1" applyFill="1" applyBorder="1" applyAlignment="1" applyProtection="1">
      <alignment horizontal="center" vertical="center"/>
      <protection locked="0"/>
    </xf>
    <xf numFmtId="0" fontId="71" fillId="37" borderId="74" xfId="605" applyFont="1" applyFill="1" applyBorder="1" applyAlignment="1" applyProtection="1">
      <alignment vertical="center"/>
      <protection/>
    </xf>
    <xf numFmtId="0" fontId="71" fillId="14" borderId="75" xfId="605" applyNumberFormat="1" applyFont="1" applyFill="1" applyBorder="1" applyAlignment="1" applyProtection="1">
      <alignment horizontal="center" vertical="center"/>
      <protection/>
    </xf>
    <xf numFmtId="0" fontId="71" fillId="14" borderId="76" xfId="605" applyNumberFormat="1" applyFont="1" applyFill="1" applyBorder="1" applyAlignment="1" applyProtection="1">
      <alignment horizontal="center" vertical="center"/>
      <protection/>
    </xf>
    <xf numFmtId="0" fontId="30" fillId="14" borderId="80" xfId="605" applyFont="1" applyFill="1" applyBorder="1" applyAlignment="1" applyProtection="1">
      <alignment vertical="center"/>
      <protection/>
    </xf>
    <xf numFmtId="0" fontId="30" fillId="44" borderId="41" xfId="605" applyFont="1" applyFill="1" applyBorder="1" applyAlignment="1" applyProtection="1">
      <alignment horizontal="center" vertical="center"/>
      <protection locked="0"/>
    </xf>
    <xf numFmtId="0" fontId="30" fillId="44" borderId="81" xfId="605" applyFont="1" applyFill="1" applyBorder="1" applyAlignment="1" applyProtection="1">
      <alignment horizontal="center" vertical="center"/>
      <protection locked="0"/>
    </xf>
    <xf numFmtId="0" fontId="30" fillId="14" borderId="24" xfId="605" applyFont="1" applyFill="1" applyBorder="1" applyAlignment="1" applyProtection="1">
      <alignment vertical="center"/>
      <protection/>
    </xf>
    <xf numFmtId="0" fontId="30" fillId="14" borderId="26" xfId="605" applyFont="1" applyFill="1" applyBorder="1" applyAlignment="1" applyProtection="1">
      <alignment vertical="center"/>
      <protection/>
    </xf>
    <xf numFmtId="0" fontId="71" fillId="14" borderId="82" xfId="605" applyNumberFormat="1" applyFont="1" applyFill="1" applyBorder="1" applyAlignment="1" applyProtection="1">
      <alignment horizontal="center" vertical="center"/>
      <protection/>
    </xf>
    <xf numFmtId="0" fontId="71" fillId="14" borderId="54" xfId="605" applyNumberFormat="1" applyFont="1" applyFill="1" applyBorder="1" applyAlignment="1" applyProtection="1">
      <alignment horizontal="center" vertical="center"/>
      <protection/>
    </xf>
    <xf numFmtId="0" fontId="71" fillId="51" borderId="74" xfId="605" applyFont="1" applyFill="1" applyBorder="1" applyAlignment="1" applyProtection="1">
      <alignment vertical="center"/>
      <protection/>
    </xf>
    <xf numFmtId="0" fontId="30" fillId="14" borderId="83" xfId="605" applyFont="1" applyFill="1" applyBorder="1" applyAlignment="1" applyProtection="1">
      <alignment vertical="center"/>
      <protection/>
    </xf>
    <xf numFmtId="0" fontId="30" fillId="14" borderId="84" xfId="605" applyFont="1" applyFill="1" applyBorder="1" applyAlignment="1" applyProtection="1">
      <alignment vertical="center"/>
      <protection/>
    </xf>
    <xf numFmtId="0" fontId="71" fillId="23" borderId="74" xfId="605" applyFont="1" applyFill="1" applyBorder="1" applyAlignment="1" applyProtection="1">
      <alignment vertical="center"/>
      <protection/>
    </xf>
    <xf numFmtId="0" fontId="71" fillId="14" borderId="27" xfId="605" applyNumberFormat="1" applyFont="1" applyFill="1" applyBorder="1" applyAlignment="1" applyProtection="1">
      <alignment horizontal="center" vertical="center"/>
      <protection/>
    </xf>
    <xf numFmtId="0" fontId="71" fillId="14" borderId="74" xfId="605" applyFont="1" applyFill="1" applyBorder="1" applyAlignment="1" applyProtection="1">
      <alignment vertical="center"/>
      <protection/>
    </xf>
    <xf numFmtId="0" fontId="30" fillId="44" borderId="75" xfId="605" applyFont="1" applyFill="1" applyBorder="1" applyAlignment="1" applyProtection="1">
      <alignment horizontal="center" vertical="center"/>
      <protection locked="0"/>
    </xf>
    <xf numFmtId="0" fontId="30" fillId="44" borderId="76" xfId="605" applyFont="1" applyFill="1" applyBorder="1" applyAlignment="1" applyProtection="1">
      <alignment horizontal="center" vertical="center"/>
      <protection locked="0"/>
    </xf>
    <xf numFmtId="0" fontId="71" fillId="14" borderId="80" xfId="605" applyFont="1" applyFill="1" applyBorder="1" applyAlignment="1" applyProtection="1">
      <alignment vertical="center"/>
      <protection/>
    </xf>
    <xf numFmtId="0" fontId="71" fillId="14" borderId="24" xfId="605" applyFont="1" applyFill="1" applyBorder="1" applyAlignment="1" applyProtection="1">
      <alignment vertical="center"/>
      <protection/>
    </xf>
    <xf numFmtId="0" fontId="72" fillId="44" borderId="85" xfId="605" applyFont="1" applyFill="1" applyBorder="1" applyAlignment="1" applyProtection="1">
      <alignment horizontal="center" vertical="center"/>
      <protection locked="0"/>
    </xf>
    <xf numFmtId="0" fontId="72" fillId="44" borderId="0" xfId="605" applyFont="1" applyFill="1" applyBorder="1" applyAlignment="1" applyProtection="1">
      <alignment horizontal="center" vertical="center"/>
      <protection locked="0"/>
    </xf>
    <xf numFmtId="0" fontId="72" fillId="44" borderId="86" xfId="605" applyFont="1" applyFill="1" applyBorder="1" applyAlignment="1" applyProtection="1">
      <alignment horizontal="center" vertical="center"/>
      <protection locked="0"/>
    </xf>
    <xf numFmtId="0" fontId="71" fillId="14" borderId="26" xfId="605" applyFont="1" applyFill="1" applyBorder="1" applyAlignment="1" applyProtection="1">
      <alignment vertical="center"/>
      <protection/>
    </xf>
    <xf numFmtId="0" fontId="72" fillId="44" borderId="82" xfId="605" applyFont="1" applyFill="1" applyBorder="1" applyAlignment="1" applyProtection="1">
      <alignment horizontal="center" vertical="center"/>
      <protection locked="0"/>
    </xf>
    <xf numFmtId="0" fontId="72" fillId="44" borderId="27" xfId="605" applyFont="1" applyFill="1" applyBorder="1" applyAlignment="1" applyProtection="1">
      <alignment horizontal="center" vertical="center"/>
      <protection locked="0"/>
    </xf>
    <xf numFmtId="0" fontId="72" fillId="44" borderId="54" xfId="605" applyFont="1" applyFill="1" applyBorder="1" applyAlignment="1" applyProtection="1">
      <alignment horizontal="center" vertical="center"/>
      <protection locked="0"/>
    </xf>
    <xf numFmtId="0" fontId="72" fillId="44" borderId="82" xfId="605" applyFont="1" applyFill="1" applyBorder="1" applyAlignment="1" applyProtection="1" quotePrefix="1">
      <alignment horizontal="center" vertical="center"/>
      <protection locked="0"/>
    </xf>
    <xf numFmtId="20" fontId="72" fillId="44" borderId="82" xfId="605" applyNumberFormat="1" applyFont="1" applyFill="1" applyBorder="1" applyAlignment="1" applyProtection="1">
      <alignment horizontal="center" vertical="center"/>
      <protection locked="0"/>
    </xf>
    <xf numFmtId="0" fontId="0" fillId="0" borderId="0" xfId="605" applyFont="1" applyProtection="1">
      <alignment/>
      <protection hidden="1"/>
    </xf>
    <xf numFmtId="0" fontId="30" fillId="0" borderId="45" xfId="605" applyFont="1" applyBorder="1" applyAlignment="1" applyProtection="1">
      <alignment vertical="center"/>
      <protection/>
    </xf>
    <xf numFmtId="0" fontId="30" fillId="0" borderId="87" xfId="605" applyFont="1" applyBorder="1" applyAlignment="1" applyProtection="1">
      <alignment vertical="center"/>
      <protection/>
    </xf>
    <xf numFmtId="0" fontId="30" fillId="0" borderId="88" xfId="605" applyFont="1" applyBorder="1" applyAlignment="1" applyProtection="1">
      <alignment horizontal="left" vertical="center"/>
      <protection/>
    </xf>
    <xf numFmtId="0" fontId="30" fillId="0" borderId="32" xfId="605" applyFont="1" applyBorder="1" applyAlignment="1" applyProtection="1">
      <alignment vertical="center"/>
      <protection/>
    </xf>
    <xf numFmtId="0" fontId="30" fillId="0" borderId="87" xfId="605" applyFont="1" applyBorder="1" applyAlignment="1" applyProtection="1">
      <alignment horizontal="center" vertical="center"/>
      <protection/>
    </xf>
    <xf numFmtId="0" fontId="30" fillId="0" borderId="88" xfId="605" applyFont="1" applyBorder="1" applyAlignment="1" applyProtection="1">
      <alignment horizontal="center" vertical="center"/>
      <protection/>
    </xf>
    <xf numFmtId="0" fontId="71" fillId="0" borderId="89" xfId="605" applyFont="1" applyBorder="1" applyAlignment="1" applyProtection="1">
      <alignment vertical="center"/>
      <protection/>
    </xf>
    <xf numFmtId="9" fontId="30" fillId="0" borderId="88" xfId="605" applyNumberFormat="1" applyFont="1" applyBorder="1" applyAlignment="1" applyProtection="1">
      <alignment vertical="center"/>
      <protection/>
    </xf>
    <xf numFmtId="0" fontId="30" fillId="0" borderId="90" xfId="605" applyFont="1" applyBorder="1" applyAlignment="1" applyProtection="1">
      <alignment vertical="center"/>
      <protection/>
    </xf>
    <xf numFmtId="0" fontId="30" fillId="0" borderId="91" xfId="605" applyFont="1" applyBorder="1" applyAlignment="1" applyProtection="1">
      <alignment vertical="center"/>
      <protection/>
    </xf>
    <xf numFmtId="0" fontId="71" fillId="0" borderId="92" xfId="605" applyFont="1" applyBorder="1" applyAlignment="1" applyProtection="1">
      <alignment vertical="center"/>
      <protection/>
    </xf>
    <xf numFmtId="0" fontId="71" fillId="0" borderId="93" xfId="605" applyFont="1" applyBorder="1" applyAlignment="1" applyProtection="1">
      <alignment vertical="center"/>
      <protection/>
    </xf>
    <xf numFmtId="0" fontId="71" fillId="0" borderId="90" xfId="605" applyFont="1" applyBorder="1" applyAlignment="1" applyProtection="1">
      <alignment vertical="center"/>
      <protection/>
    </xf>
    <xf numFmtId="10" fontId="30" fillId="0" borderId="88" xfId="605" applyNumberFormat="1" applyFont="1" applyBorder="1" applyAlignment="1" applyProtection="1">
      <alignment vertical="center"/>
      <protection/>
    </xf>
    <xf numFmtId="0" fontId="30" fillId="0" borderId="94" xfId="605" applyFont="1" applyBorder="1" applyAlignment="1" applyProtection="1">
      <alignment vertical="center"/>
      <protection/>
    </xf>
    <xf numFmtId="0" fontId="30" fillId="0" borderId="88" xfId="605" applyFont="1" applyBorder="1" applyAlignment="1" applyProtection="1">
      <alignment vertical="center"/>
      <protection/>
    </xf>
    <xf numFmtId="0" fontId="30" fillId="0" borderId="92" xfId="605" applyFont="1" applyBorder="1" applyAlignment="1" applyProtection="1">
      <alignment vertical="center"/>
      <protection/>
    </xf>
    <xf numFmtId="0" fontId="30" fillId="0" borderId="94" xfId="605" applyFont="1" applyFill="1" applyBorder="1" applyAlignment="1" applyProtection="1">
      <alignment vertical="center"/>
      <protection/>
    </xf>
    <xf numFmtId="0" fontId="10" fillId="0" borderId="87" xfId="605" applyNumberFormat="1" applyFont="1" applyBorder="1" applyProtection="1">
      <alignment/>
      <protection/>
    </xf>
    <xf numFmtId="0" fontId="0" fillId="0" borderId="88" xfId="605" applyNumberFormat="1" applyFont="1" applyBorder="1" applyProtection="1">
      <alignment/>
      <protection/>
    </xf>
    <xf numFmtId="0" fontId="30" fillId="0" borderId="32" xfId="605" applyFont="1" applyFill="1" applyBorder="1" applyAlignment="1" applyProtection="1">
      <alignment vertical="center"/>
      <protection/>
    </xf>
    <xf numFmtId="46" fontId="72" fillId="44" borderId="54" xfId="605" applyNumberFormat="1" applyFont="1" applyFill="1" applyBorder="1" applyAlignment="1" applyProtection="1">
      <alignment horizontal="center" vertical="center"/>
      <protection locked="0"/>
    </xf>
    <xf numFmtId="0" fontId="10" fillId="0" borderId="21" xfId="605" applyFont="1" applyBorder="1" applyAlignment="1">
      <alignment horizontal="left"/>
      <protection/>
    </xf>
    <xf numFmtId="0" fontId="10" fillId="0" borderId="0" xfId="605" applyFont="1" applyAlignment="1">
      <alignment horizontal="center"/>
      <protection/>
    </xf>
    <xf numFmtId="0" fontId="10" fillId="0" borderId="0" xfId="605" applyFont="1">
      <alignment/>
      <protection/>
    </xf>
    <xf numFmtId="0" fontId="71" fillId="0" borderId="95" xfId="605" applyFont="1" applyBorder="1" applyAlignment="1" applyProtection="1">
      <alignment vertical="center"/>
      <protection/>
    </xf>
    <xf numFmtId="2" fontId="0" fillId="0" borderId="38" xfId="605" applyNumberFormat="1" applyFont="1" applyBorder="1">
      <alignment/>
      <protection/>
    </xf>
    <xf numFmtId="2" fontId="0" fillId="0" borderId="0" xfId="605" applyNumberFormat="1" applyFont="1">
      <alignment/>
      <protection/>
    </xf>
    <xf numFmtId="9" fontId="0" fillId="0" borderId="0" xfId="605" applyNumberFormat="1" applyFont="1">
      <alignment/>
      <protection/>
    </xf>
    <xf numFmtId="0" fontId="30" fillId="0" borderId="95" xfId="605" applyFont="1" applyBorder="1" applyAlignment="1" applyProtection="1">
      <alignment vertical="center"/>
      <protection/>
    </xf>
    <xf numFmtId="0" fontId="30" fillId="0" borderId="95" xfId="605" applyFont="1" applyFill="1" applyBorder="1" applyAlignment="1" applyProtection="1">
      <alignment vertical="center"/>
      <protection/>
    </xf>
    <xf numFmtId="1" fontId="0" fillId="0" borderId="38" xfId="605" applyNumberFormat="1" applyFont="1" applyBorder="1">
      <alignment/>
      <protection/>
    </xf>
    <xf numFmtId="1" fontId="0" fillId="0" borderId="0" xfId="605" applyNumberFormat="1" applyFont="1">
      <alignment/>
      <protection/>
    </xf>
    <xf numFmtId="0" fontId="30" fillId="0" borderId="26" xfId="605" applyFont="1" applyFill="1" applyBorder="1" applyAlignment="1" applyProtection="1">
      <alignment vertical="center"/>
      <protection/>
    </xf>
    <xf numFmtId="49" fontId="0" fillId="0" borderId="0" xfId="605" applyNumberFormat="1" applyFont="1" applyBorder="1">
      <alignment/>
      <protection/>
    </xf>
    <xf numFmtId="0" fontId="0" fillId="0" borderId="0" xfId="605" applyFont="1" applyBorder="1">
      <alignment/>
      <protection/>
    </xf>
    <xf numFmtId="0" fontId="16" fillId="0" borderId="96" xfId="0" applyFont="1" applyFill="1" applyBorder="1" applyAlignment="1" applyProtection="1">
      <alignment horizontal="left" vertical="center"/>
      <protection hidden="1"/>
    </xf>
    <xf numFmtId="0" fontId="17" fillId="0" borderId="52" xfId="0" applyFont="1" applyFill="1" applyBorder="1" applyAlignment="1">
      <alignment horizontal="center"/>
    </xf>
    <xf numFmtId="0" fontId="0" fillId="0" borderId="63" xfId="0" applyBorder="1" applyAlignment="1">
      <alignment/>
    </xf>
    <xf numFmtId="1" fontId="19" fillId="0" borderId="47" xfId="0" applyNumberFormat="1" applyFont="1" applyFill="1" applyBorder="1" applyAlignment="1">
      <alignment horizontal="center"/>
    </xf>
    <xf numFmtId="0" fontId="16" fillId="11" borderId="97" xfId="0" applyFont="1" applyFill="1" applyBorder="1" applyAlignment="1" applyProtection="1">
      <alignment horizontal="left" vertical="center"/>
      <protection hidden="1"/>
    </xf>
    <xf numFmtId="0" fontId="16" fillId="0" borderId="97" xfId="0" applyFont="1" applyFill="1" applyBorder="1" applyAlignment="1" applyProtection="1">
      <alignment horizontal="left" vertical="center"/>
      <protection hidden="1"/>
    </xf>
    <xf numFmtId="16" fontId="0" fillId="0" borderId="0" xfId="0" applyNumberFormat="1" applyAlignment="1">
      <alignment/>
    </xf>
    <xf numFmtId="0" fontId="20" fillId="0" borderId="53" xfId="606" applyFont="1" applyFill="1" applyBorder="1" applyAlignment="1" applyProtection="1">
      <alignment horizontal="center"/>
      <protection locked="0"/>
    </xf>
    <xf numFmtId="0" fontId="20" fillId="0" borderId="98" xfId="606" applyFont="1" applyFill="1" applyBorder="1" applyAlignment="1" applyProtection="1">
      <alignment horizontal="center"/>
      <protection locked="0"/>
    </xf>
    <xf numFmtId="0" fontId="87" fillId="0" borderId="49" xfId="606" applyFont="1" applyFill="1" applyBorder="1" applyProtection="1">
      <alignment/>
      <protection locked="0"/>
    </xf>
    <xf numFmtId="0" fontId="87" fillId="0" borderId="51" xfId="606" applyFont="1" applyFill="1" applyBorder="1" applyProtection="1">
      <alignment/>
      <protection locked="0"/>
    </xf>
    <xf numFmtId="0" fontId="87" fillId="52" borderId="51" xfId="606" applyFont="1" applyFill="1" applyBorder="1" applyProtection="1">
      <alignment/>
      <protection locked="0"/>
    </xf>
    <xf numFmtId="0" fontId="87" fillId="0" borderId="49" xfId="606" applyFont="1" applyFill="1" applyBorder="1" applyAlignment="1" applyProtection="1">
      <alignment/>
      <protection locked="0"/>
    </xf>
    <xf numFmtId="0" fontId="87" fillId="0" borderId="99" xfId="606" applyFont="1" applyFill="1" applyBorder="1" applyProtection="1">
      <alignment/>
      <protection locked="0"/>
    </xf>
    <xf numFmtId="0" fontId="87" fillId="0" borderId="37" xfId="606" applyFont="1" applyFill="1" applyBorder="1" applyProtection="1">
      <alignment/>
      <protection locked="0"/>
    </xf>
    <xf numFmtId="0" fontId="88" fillId="0" borderId="49" xfId="606" applyFont="1" applyFill="1" applyBorder="1" applyProtection="1">
      <alignment/>
      <protection locked="0"/>
    </xf>
    <xf numFmtId="0" fontId="88" fillId="0" borderId="51" xfId="606" applyFont="1" applyFill="1" applyBorder="1" applyProtection="1">
      <alignment/>
      <protection locked="0"/>
    </xf>
    <xf numFmtId="0" fontId="88" fillId="0" borderId="100" xfId="606" applyFont="1" applyFill="1" applyBorder="1" applyProtection="1">
      <alignment/>
      <protection locked="0"/>
    </xf>
    <xf numFmtId="0" fontId="88" fillId="0" borderId="30" xfId="606" applyFont="1" applyFill="1" applyBorder="1" applyProtection="1">
      <alignment/>
      <protection locked="0"/>
    </xf>
    <xf numFmtId="0" fontId="87" fillId="0" borderId="51" xfId="606" applyFont="1" applyFill="1" applyBorder="1" applyAlignment="1" applyProtection="1">
      <alignment/>
      <protection locked="0"/>
    </xf>
    <xf numFmtId="0" fontId="87" fillId="0" borderId="49" xfId="546" applyFont="1" applyFill="1" applyBorder="1" applyAlignment="1" applyProtection="1">
      <alignment/>
      <protection locked="0"/>
    </xf>
    <xf numFmtId="0" fontId="87" fillId="0" borderId="48" xfId="546" applyFont="1" applyFill="1" applyBorder="1" applyAlignment="1" applyProtection="1">
      <alignment/>
      <protection locked="0"/>
    </xf>
    <xf numFmtId="0" fontId="88" fillId="0" borderId="49" xfId="606" applyFont="1" applyFill="1" applyBorder="1" applyAlignment="1" applyProtection="1">
      <alignment/>
      <protection locked="0"/>
    </xf>
    <xf numFmtId="0" fontId="88" fillId="0" borderId="49" xfId="546" applyFont="1" applyFill="1" applyBorder="1" applyAlignment="1" applyProtection="1">
      <alignment/>
      <protection locked="0"/>
    </xf>
    <xf numFmtId="0" fontId="89" fillId="0" borderId="51" xfId="606" applyFont="1" applyFill="1" applyBorder="1" applyAlignment="1" applyProtection="1">
      <alignment horizontal="center"/>
      <protection locked="0"/>
    </xf>
    <xf numFmtId="0" fontId="88" fillId="0" borderId="53" xfId="546" applyFont="1" applyFill="1" applyBorder="1" applyAlignment="1" applyProtection="1">
      <alignment/>
      <protection locked="0"/>
    </xf>
    <xf numFmtId="0" fontId="0" fillId="0" borderId="0" xfId="596" applyNumberFormat="1" applyFont="1" applyBorder="1" applyAlignment="1">
      <alignment horizontal="center"/>
      <protection/>
    </xf>
    <xf numFmtId="0" fontId="10" fillId="0" borderId="101" xfId="596" applyNumberFormat="1" applyFont="1" applyBorder="1" applyAlignment="1">
      <alignment horizontal="center"/>
      <protection/>
    </xf>
    <xf numFmtId="0" fontId="0" fillId="0" borderId="102" xfId="596" applyNumberFormat="1" applyFont="1" applyBorder="1" applyAlignment="1">
      <alignment horizontal="center"/>
      <protection/>
    </xf>
    <xf numFmtId="0" fontId="0" fillId="0" borderId="0" xfId="596" applyNumberFormat="1" applyFont="1" applyAlignment="1">
      <alignment horizontal="center"/>
      <protection/>
    </xf>
    <xf numFmtId="0" fontId="19" fillId="0" borderId="101" xfId="0" applyFont="1" applyFill="1" applyBorder="1" applyAlignment="1" applyProtection="1">
      <alignment horizontal="left" vertical="center"/>
      <protection hidden="1"/>
    </xf>
    <xf numFmtId="0" fontId="88" fillId="0" borderId="99" xfId="606" applyFont="1" applyFill="1" applyBorder="1" applyProtection="1">
      <alignment/>
      <protection locked="0"/>
    </xf>
    <xf numFmtId="0" fontId="15" fillId="0" borderId="0" xfId="596" applyFont="1" applyAlignment="1">
      <alignment horizontal="center"/>
      <protection/>
    </xf>
    <xf numFmtId="0" fontId="19" fillId="0" borderId="49" xfId="606" applyFont="1" applyFill="1" applyBorder="1" applyAlignment="1" applyProtection="1">
      <alignment horizontal="center"/>
      <protection locked="0"/>
    </xf>
    <xf numFmtId="0" fontId="11" fillId="0" borderId="0" xfId="596" applyFont="1" applyAlignment="1">
      <alignment horizontal="left"/>
      <protection/>
    </xf>
    <xf numFmtId="14" fontId="11" fillId="0" borderId="103" xfId="596" applyNumberFormat="1" applyFont="1" applyBorder="1" applyAlignment="1">
      <alignment horizontal="center"/>
      <protection/>
    </xf>
    <xf numFmtId="0" fontId="0" fillId="0" borderId="0" xfId="596" applyFont="1" applyAlignment="1">
      <alignment horizontal="center"/>
      <protection/>
    </xf>
    <xf numFmtId="14" fontId="11" fillId="0" borderId="104" xfId="596" applyNumberFormat="1" applyFont="1" applyBorder="1" applyAlignment="1">
      <alignment horizontal="center"/>
      <protection/>
    </xf>
    <xf numFmtId="0" fontId="0" fillId="0" borderId="0" xfId="595" applyFont="1">
      <alignment/>
      <protection/>
    </xf>
    <xf numFmtId="0" fontId="53" fillId="0" borderId="0" xfId="0" applyFont="1" applyAlignment="1">
      <alignment/>
    </xf>
    <xf numFmtId="0" fontId="90" fillId="0" borderId="0" xfId="554" applyFont="1" applyAlignment="1">
      <alignment horizontal="center"/>
    </xf>
    <xf numFmtId="0" fontId="90" fillId="0" borderId="0" xfId="554" applyFont="1" applyAlignment="1">
      <alignment horizontal="right"/>
    </xf>
    <xf numFmtId="0" fontId="90" fillId="0" borderId="0" xfId="554" applyFont="1" applyAlignment="1">
      <alignment/>
    </xf>
    <xf numFmtId="165" fontId="17" fillId="0" borderId="77" xfId="0" applyNumberFormat="1" applyFont="1" applyFill="1" applyBorder="1" applyAlignment="1" applyProtection="1">
      <alignment horizontal="center" vertical="center" wrapText="1"/>
      <protection hidden="1"/>
    </xf>
    <xf numFmtId="165" fontId="17" fillId="0" borderId="80" xfId="0" applyNumberFormat="1" applyFont="1" applyFill="1" applyBorder="1" applyAlignment="1" applyProtection="1">
      <alignment horizontal="center" vertical="center" wrapText="1"/>
      <protection hidden="1"/>
    </xf>
    <xf numFmtId="165" fontId="17" fillId="0" borderId="105" xfId="0" applyNumberFormat="1" applyFont="1" applyFill="1" applyBorder="1" applyAlignment="1" applyProtection="1">
      <alignment horizontal="center" vertical="center" wrapText="1"/>
      <protection hidden="1"/>
    </xf>
    <xf numFmtId="165" fontId="17" fillId="0" borderId="106" xfId="0" applyNumberFormat="1" applyFont="1" applyFill="1" applyBorder="1" applyAlignment="1" applyProtection="1">
      <alignment horizontal="center" vertical="center" wrapText="1"/>
      <protection hidden="1"/>
    </xf>
    <xf numFmtId="165" fontId="17" fillId="0" borderId="107" xfId="0" applyNumberFormat="1" applyFont="1" applyFill="1" applyBorder="1" applyAlignment="1" applyProtection="1">
      <alignment horizontal="center" vertical="center" wrapText="1"/>
      <protection hidden="1"/>
    </xf>
    <xf numFmtId="165" fontId="17" fillId="0" borderId="18" xfId="0" applyNumberFormat="1" applyFont="1" applyFill="1" applyBorder="1" applyAlignment="1" applyProtection="1">
      <alignment horizontal="center" vertical="center" wrapText="1"/>
      <protection hidden="1"/>
    </xf>
    <xf numFmtId="165" fontId="17" fillId="0" borderId="74" xfId="0" applyNumberFormat="1" applyFont="1" applyFill="1" applyBorder="1" applyAlignment="1" applyProtection="1">
      <alignment horizontal="center" vertical="center" wrapText="1"/>
      <protection hidden="1"/>
    </xf>
    <xf numFmtId="165" fontId="17" fillId="0" borderId="108" xfId="0" applyNumberFormat="1" applyFont="1" applyFill="1" applyBorder="1" applyAlignment="1" applyProtection="1">
      <alignment horizontal="center" vertical="center" wrapText="1"/>
      <protection hidden="1"/>
    </xf>
    <xf numFmtId="165" fontId="17" fillId="0" borderId="78" xfId="0" applyNumberFormat="1" applyFont="1" applyFill="1" applyBorder="1" applyAlignment="1" applyProtection="1">
      <alignment horizontal="center" vertical="center" wrapText="1"/>
      <protection hidden="1"/>
    </xf>
    <xf numFmtId="165" fontId="17" fillId="0" borderId="109" xfId="0" applyNumberFormat="1" applyFont="1" applyFill="1" applyBorder="1" applyAlignment="1" applyProtection="1">
      <alignment horizontal="center" vertical="center" wrapText="1"/>
      <protection hidden="1"/>
    </xf>
    <xf numFmtId="165" fontId="16" fillId="0" borderId="74" xfId="0" applyNumberFormat="1" applyFont="1" applyFill="1" applyBorder="1" applyAlignment="1" applyProtection="1">
      <alignment horizontal="left" vertical="center" wrapText="1"/>
      <protection hidden="1"/>
    </xf>
    <xf numFmtId="165" fontId="17" fillId="0" borderId="110" xfId="0" applyNumberFormat="1" applyFont="1" applyFill="1" applyBorder="1" applyAlignment="1" applyProtection="1">
      <alignment horizontal="center" vertical="center" wrapText="1"/>
      <protection hidden="1"/>
    </xf>
    <xf numFmtId="165" fontId="17" fillId="0" borderId="52" xfId="0" applyNumberFormat="1" applyFont="1" applyFill="1" applyBorder="1" applyAlignment="1" applyProtection="1">
      <alignment horizontal="center" vertical="center" wrapText="1"/>
      <protection hidden="1"/>
    </xf>
    <xf numFmtId="0" fontId="0" fillId="0" borderId="0" xfId="0" applyFont="1" applyBorder="1" applyAlignment="1">
      <alignment horizontal="center" textRotation="90"/>
    </xf>
    <xf numFmtId="165" fontId="26" fillId="0" borderId="77" xfId="0" applyNumberFormat="1" applyFont="1" applyFill="1" applyBorder="1" applyAlignment="1" applyProtection="1">
      <alignment horizontal="center" vertical="center" wrapText="1"/>
      <protection hidden="1"/>
    </xf>
    <xf numFmtId="166" fontId="25" fillId="0" borderId="77" xfId="0" applyNumberFormat="1" applyFont="1" applyFill="1" applyBorder="1" applyAlignment="1" applyProtection="1">
      <alignment horizontal="center" vertical="center"/>
      <protection hidden="1"/>
    </xf>
    <xf numFmtId="165" fontId="26" fillId="0" borderId="80" xfId="0" applyNumberFormat="1" applyFont="1" applyFill="1" applyBorder="1" applyAlignment="1" applyProtection="1">
      <alignment horizontal="center" vertical="center" wrapText="1"/>
      <protection hidden="1"/>
    </xf>
    <xf numFmtId="165" fontId="26" fillId="0" borderId="84" xfId="0" applyNumberFormat="1" applyFont="1" applyFill="1" applyBorder="1" applyAlignment="1" applyProtection="1">
      <alignment horizontal="center" vertical="center" wrapText="1"/>
      <protection hidden="1"/>
    </xf>
    <xf numFmtId="166" fontId="25" fillId="0" borderId="77" xfId="0" applyNumberFormat="1" applyFont="1" applyFill="1" applyBorder="1" applyAlignment="1" applyProtection="1">
      <alignment horizontal="center" vertical="center" wrapText="1"/>
      <protection hidden="1"/>
    </xf>
    <xf numFmtId="166" fontId="25" fillId="0" borderId="108" xfId="0" applyNumberFormat="1" applyFont="1" applyFill="1" applyBorder="1" applyAlignment="1" applyProtection="1">
      <alignment horizontal="center" vertical="center"/>
      <protection hidden="1"/>
    </xf>
    <xf numFmtId="166" fontId="25" fillId="0" borderId="84" xfId="0" applyNumberFormat="1" applyFont="1" applyFill="1" applyBorder="1" applyAlignment="1" applyProtection="1">
      <alignment horizontal="center" vertical="center"/>
      <protection hidden="1"/>
    </xf>
    <xf numFmtId="165" fontId="26" fillId="0" borderId="105" xfId="0" applyNumberFormat="1" applyFont="1" applyFill="1" applyBorder="1" applyAlignment="1" applyProtection="1">
      <alignment horizontal="center" vertical="center" wrapText="1"/>
      <protection hidden="1"/>
    </xf>
    <xf numFmtId="166" fontId="25" fillId="0" borderId="80" xfId="0" applyNumberFormat="1" applyFont="1" applyFill="1" applyBorder="1" applyAlignment="1" applyProtection="1">
      <alignment horizontal="center" vertical="center"/>
      <protection hidden="1"/>
    </xf>
    <xf numFmtId="165" fontId="26" fillId="0" borderId="74" xfId="0" applyNumberFormat="1" applyFont="1" applyFill="1" applyBorder="1" applyAlignment="1" applyProtection="1">
      <alignment horizontal="center" vertical="center" wrapText="1"/>
      <protection hidden="1"/>
    </xf>
    <xf numFmtId="165" fontId="26" fillId="0" borderId="106" xfId="0" applyNumberFormat="1" applyFont="1" applyFill="1" applyBorder="1" applyAlignment="1" applyProtection="1">
      <alignment horizontal="center" vertical="center" wrapText="1"/>
      <protection hidden="1"/>
    </xf>
    <xf numFmtId="165" fontId="26" fillId="0" borderId="107" xfId="0" applyNumberFormat="1" applyFont="1" applyFill="1" applyBorder="1" applyAlignment="1" applyProtection="1">
      <alignment horizontal="center" vertical="center" wrapText="1"/>
      <protection hidden="1"/>
    </xf>
    <xf numFmtId="0" fontId="0" fillId="0" borderId="39" xfId="0" applyBorder="1" applyAlignment="1">
      <alignment horizontal="center"/>
    </xf>
    <xf numFmtId="0" fontId="0" fillId="0" borderId="36" xfId="0" applyBorder="1" applyAlignment="1">
      <alignment horizontal="center"/>
    </xf>
    <xf numFmtId="0" fontId="0" fillId="0" borderId="35" xfId="0" applyFont="1" applyBorder="1" applyAlignment="1">
      <alignment horizontal="center"/>
    </xf>
    <xf numFmtId="0" fontId="29" fillId="0" borderId="35" xfId="0" applyFont="1" applyBorder="1" applyAlignment="1">
      <alignment horizontal="center"/>
    </xf>
  </cellXfs>
  <cellStyles count="659">
    <cellStyle name="Normal" xfId="0"/>
    <cellStyle name="20 % - Akzent1" xfId="15"/>
    <cellStyle name="20 % - Akzent1_8 Wo-Plan" xfId="16"/>
    <cellStyle name="20 % - Akzent1_Biorhythmus" xfId="17"/>
    <cellStyle name="20 % - Akzent1_Juli-Aug" xfId="18"/>
    <cellStyle name="20 % - Akzent1_Mai-Juni" xfId="19"/>
    <cellStyle name="20 % - Akzent1_März-April" xfId="20"/>
    <cellStyle name="20 % - Akzent1_Nov-Dez" xfId="21"/>
    <cellStyle name="20 % - Akzent1_Planung" xfId="22"/>
    <cellStyle name="20 % - Akzent1_trainingsprotokoll_jahr" xfId="23"/>
    <cellStyle name="20 % - Akzent2" xfId="24"/>
    <cellStyle name="20 % - Akzent2_8 Wo-Plan" xfId="25"/>
    <cellStyle name="20 % - Akzent2_Biorhythmus" xfId="26"/>
    <cellStyle name="20 % - Akzent2_Juli-Aug" xfId="27"/>
    <cellStyle name="20 % - Akzent2_Mai-Juni" xfId="28"/>
    <cellStyle name="20 % - Akzent2_März-April" xfId="29"/>
    <cellStyle name="20 % - Akzent2_Nov-Dez" xfId="30"/>
    <cellStyle name="20 % - Akzent2_Planung" xfId="31"/>
    <cellStyle name="20 % - Akzent2_trainingsprotokoll_jahr" xfId="32"/>
    <cellStyle name="20 % - Akzent3" xfId="33"/>
    <cellStyle name="20 % - Akzent3_8 Wo-Plan" xfId="34"/>
    <cellStyle name="20 % - Akzent3_Biorhythmus" xfId="35"/>
    <cellStyle name="20 % - Akzent3_Juli-Aug" xfId="36"/>
    <cellStyle name="20 % - Akzent3_Mai-Juni" xfId="37"/>
    <cellStyle name="20 % - Akzent3_März-April" xfId="38"/>
    <cellStyle name="20 % - Akzent3_Nov-Dez" xfId="39"/>
    <cellStyle name="20 % - Akzent3_Planung" xfId="40"/>
    <cellStyle name="20 % - Akzent3_trainingsprotokoll_jahr" xfId="41"/>
    <cellStyle name="20 % - Akzent4" xfId="42"/>
    <cellStyle name="20 % - Akzent4_8 Wo-Plan" xfId="43"/>
    <cellStyle name="20 % - Akzent4_Biorhythmus" xfId="44"/>
    <cellStyle name="20 % - Akzent4_Juli-Aug" xfId="45"/>
    <cellStyle name="20 % - Akzent4_Mai-Juni" xfId="46"/>
    <cellStyle name="20 % - Akzent4_März-April" xfId="47"/>
    <cellStyle name="20 % - Akzent4_Nov-Dez" xfId="48"/>
    <cellStyle name="20 % - Akzent4_Planung" xfId="49"/>
    <cellStyle name="20 % - Akzent4_trainingsprotokoll_jahr" xfId="50"/>
    <cellStyle name="20 % - Akzent5" xfId="51"/>
    <cellStyle name="20 % - Akzent5_8 Wo-Plan" xfId="52"/>
    <cellStyle name="20 % - Akzent5_Biorhythmus" xfId="53"/>
    <cellStyle name="20 % - Akzent5_Juli-Aug" xfId="54"/>
    <cellStyle name="20 % - Akzent5_Mai-Juni" xfId="55"/>
    <cellStyle name="20 % - Akzent5_März-April" xfId="56"/>
    <cellStyle name="20 % - Akzent5_Nov-Dez" xfId="57"/>
    <cellStyle name="20 % - Akzent5_Planung" xfId="58"/>
    <cellStyle name="20 % - Akzent5_trainingsprotokoll_jahr" xfId="59"/>
    <cellStyle name="20 % - Akzent6" xfId="60"/>
    <cellStyle name="20 % - Akzent6_8 Wo-Plan" xfId="61"/>
    <cellStyle name="20 % - Akzent6_Biorhythmus" xfId="62"/>
    <cellStyle name="20 % - Akzent6_Juli-Aug" xfId="63"/>
    <cellStyle name="20 % - Akzent6_Mai-Juni" xfId="64"/>
    <cellStyle name="20 % - Akzent6_März-April" xfId="65"/>
    <cellStyle name="20 % - Akzent6_Nov-Dez" xfId="66"/>
    <cellStyle name="20 % - Akzent6_Planung" xfId="67"/>
    <cellStyle name="20 % - Akzent6_trainingsprotokoll_jahr" xfId="68"/>
    <cellStyle name="20% - Akzent1" xfId="69"/>
    <cellStyle name="20% - Akzent1_Jahresübersicht" xfId="70"/>
    <cellStyle name="20% - Akzent1_Nov-Dez" xfId="71"/>
    <cellStyle name="20% - Akzent1_TP_Torsten_Nov-15_Okt-16.xls Chart 1" xfId="72"/>
    <cellStyle name="20% - Akzent1_TP_Torsten_Nov-15_Okt-16.xls Chart 2" xfId="73"/>
    <cellStyle name="20% - Akzent1_TP_Torsten_Nov-15_Okt-16.xls Chart 3" xfId="74"/>
    <cellStyle name="20% - Akzent1_TP_Torsten_Nov-15_Okt-16.xls Chart 49" xfId="75"/>
    <cellStyle name="20% - Akzent1_TP_Torsten_Nov-15_Okt-16.xls Chart 5" xfId="76"/>
    <cellStyle name="20% - Akzent1_trainingsprotokoll_jahr" xfId="77"/>
    <cellStyle name="20% - Akzent1_trainingsprotokoll_jahr0" xfId="78"/>
    <cellStyle name="20% - Akzent2" xfId="79"/>
    <cellStyle name="20% - Akzent2_Jahresübersicht" xfId="80"/>
    <cellStyle name="20% - Akzent2_Nov-Dez" xfId="81"/>
    <cellStyle name="20% - Akzent2_TP_Torsten_Nov-15_Okt-16.xls Chart 1" xfId="82"/>
    <cellStyle name="20% - Akzent2_TP_Torsten_Nov-15_Okt-16.xls Chart 2" xfId="83"/>
    <cellStyle name="20% - Akzent2_TP_Torsten_Nov-15_Okt-16.xls Chart 3" xfId="84"/>
    <cellStyle name="20% - Akzent2_TP_Torsten_Nov-15_Okt-16.xls Chart 49" xfId="85"/>
    <cellStyle name="20% - Akzent2_TP_Torsten_Nov-15_Okt-16.xls Chart 5" xfId="86"/>
    <cellStyle name="20% - Akzent2_trainingsprotokoll_jahr" xfId="87"/>
    <cellStyle name="20% - Akzent2_trainingsprotokoll_jahr0" xfId="88"/>
    <cellStyle name="20% - Akzent3" xfId="89"/>
    <cellStyle name="20% - Akzent3_Jahresübersicht" xfId="90"/>
    <cellStyle name="20% - Akzent3_Nov-Dez" xfId="91"/>
    <cellStyle name="20% - Akzent3_TP_Torsten_Nov-15_Okt-16.xls Chart 1" xfId="92"/>
    <cellStyle name="20% - Akzent3_TP_Torsten_Nov-15_Okt-16.xls Chart 2" xfId="93"/>
    <cellStyle name="20% - Akzent3_TP_Torsten_Nov-15_Okt-16.xls Chart 3" xfId="94"/>
    <cellStyle name="20% - Akzent3_TP_Torsten_Nov-15_Okt-16.xls Chart 49" xfId="95"/>
    <cellStyle name="20% - Akzent3_TP_Torsten_Nov-15_Okt-16.xls Chart 5" xfId="96"/>
    <cellStyle name="20% - Akzent3_trainingsprotokoll_jahr" xfId="97"/>
    <cellStyle name="20% - Akzent3_trainingsprotokoll_jahr0" xfId="98"/>
    <cellStyle name="20% - Akzent4" xfId="99"/>
    <cellStyle name="20% - Akzent4_Jahresübersicht" xfId="100"/>
    <cellStyle name="20% - Akzent4_Nov-Dez" xfId="101"/>
    <cellStyle name="20% - Akzent4_TP_Torsten_Nov-15_Okt-16.xls Chart 1" xfId="102"/>
    <cellStyle name="20% - Akzent4_TP_Torsten_Nov-15_Okt-16.xls Chart 2" xfId="103"/>
    <cellStyle name="20% - Akzent4_TP_Torsten_Nov-15_Okt-16.xls Chart 3" xfId="104"/>
    <cellStyle name="20% - Akzent4_TP_Torsten_Nov-15_Okt-16.xls Chart 49" xfId="105"/>
    <cellStyle name="20% - Akzent4_TP_Torsten_Nov-15_Okt-16.xls Chart 5" xfId="106"/>
    <cellStyle name="20% - Akzent4_trainingsprotokoll_jahr" xfId="107"/>
    <cellStyle name="20% - Akzent4_trainingsprotokoll_jahr0" xfId="108"/>
    <cellStyle name="20% - Akzent5" xfId="109"/>
    <cellStyle name="20% - Akzent5_Jahresübersicht" xfId="110"/>
    <cellStyle name="20% - Akzent5_Nov-Dez" xfId="111"/>
    <cellStyle name="20% - Akzent5_TP_Torsten_Nov-15_Okt-16.xls Chart 1" xfId="112"/>
    <cellStyle name="20% - Akzent5_TP_Torsten_Nov-15_Okt-16.xls Chart 2" xfId="113"/>
    <cellStyle name="20% - Akzent5_TP_Torsten_Nov-15_Okt-16.xls Chart 3" xfId="114"/>
    <cellStyle name="20% - Akzent5_TP_Torsten_Nov-15_Okt-16.xls Chart 49" xfId="115"/>
    <cellStyle name="20% - Akzent5_TP_Torsten_Nov-15_Okt-16.xls Chart 5" xfId="116"/>
    <cellStyle name="20% - Akzent5_trainingsprotokoll_jahr" xfId="117"/>
    <cellStyle name="20% - Akzent5_trainingsprotokoll_jahr0" xfId="118"/>
    <cellStyle name="20% - Akzent6" xfId="119"/>
    <cellStyle name="20% - Akzent6_Jahresübersicht" xfId="120"/>
    <cellStyle name="20% - Akzent6_Nov-Dez" xfId="121"/>
    <cellStyle name="20% - Akzent6_TP_Torsten_Nov-15_Okt-16.xls Chart 1" xfId="122"/>
    <cellStyle name="20% - Akzent6_TP_Torsten_Nov-15_Okt-16.xls Chart 2" xfId="123"/>
    <cellStyle name="20% - Akzent6_TP_Torsten_Nov-15_Okt-16.xls Chart 3" xfId="124"/>
    <cellStyle name="20% - Akzent6_TP_Torsten_Nov-15_Okt-16.xls Chart 49" xfId="125"/>
    <cellStyle name="20% - Akzent6_TP_Torsten_Nov-15_Okt-16.xls Chart 5" xfId="126"/>
    <cellStyle name="20% - Akzent6_trainingsprotokoll_jahr" xfId="127"/>
    <cellStyle name="20% - Akzent6_trainingsprotokoll_jahr0" xfId="128"/>
    <cellStyle name="40 % - Akzent1" xfId="129"/>
    <cellStyle name="40 % - Akzent1_8 Wo-Plan" xfId="130"/>
    <cellStyle name="40 % - Akzent1_Biorhythmus" xfId="131"/>
    <cellStyle name="40 % - Akzent1_Juli-Aug" xfId="132"/>
    <cellStyle name="40 % - Akzent1_Mai-Juni" xfId="133"/>
    <cellStyle name="40 % - Akzent1_März-April" xfId="134"/>
    <cellStyle name="40 % - Akzent1_Nov-Dez" xfId="135"/>
    <cellStyle name="40 % - Akzent1_Planung" xfId="136"/>
    <cellStyle name="40 % - Akzent1_trainingsprotokoll_jahr" xfId="137"/>
    <cellStyle name="40 % - Akzent2" xfId="138"/>
    <cellStyle name="40 % - Akzent2_8 Wo-Plan" xfId="139"/>
    <cellStyle name="40 % - Akzent2_Biorhythmus" xfId="140"/>
    <cellStyle name="40 % - Akzent2_Juli-Aug" xfId="141"/>
    <cellStyle name="40 % - Akzent2_Mai-Juni" xfId="142"/>
    <cellStyle name="40 % - Akzent2_März-April" xfId="143"/>
    <cellStyle name="40 % - Akzent2_Nov-Dez" xfId="144"/>
    <cellStyle name="40 % - Akzent2_Planung" xfId="145"/>
    <cellStyle name="40 % - Akzent2_trainingsprotokoll_jahr" xfId="146"/>
    <cellStyle name="40 % - Akzent3" xfId="147"/>
    <cellStyle name="40 % - Akzent3_8 Wo-Plan" xfId="148"/>
    <cellStyle name="40 % - Akzent3_Biorhythmus" xfId="149"/>
    <cellStyle name="40 % - Akzent3_Juli-Aug" xfId="150"/>
    <cellStyle name="40 % - Akzent3_Mai-Juni" xfId="151"/>
    <cellStyle name="40 % - Akzent3_März-April" xfId="152"/>
    <cellStyle name="40 % - Akzent3_Nov-Dez" xfId="153"/>
    <cellStyle name="40 % - Akzent3_Planung" xfId="154"/>
    <cellStyle name="40 % - Akzent3_trainingsprotokoll_jahr" xfId="155"/>
    <cellStyle name="40 % - Akzent4" xfId="156"/>
    <cellStyle name="40 % - Akzent4_8 Wo-Plan" xfId="157"/>
    <cellStyle name="40 % - Akzent4_Biorhythmus" xfId="158"/>
    <cellStyle name="40 % - Akzent4_Juli-Aug" xfId="159"/>
    <cellStyle name="40 % - Akzent4_Mai-Juni" xfId="160"/>
    <cellStyle name="40 % - Akzent4_März-April" xfId="161"/>
    <cellStyle name="40 % - Akzent4_Nov-Dez" xfId="162"/>
    <cellStyle name="40 % - Akzent4_Planung" xfId="163"/>
    <cellStyle name="40 % - Akzent4_trainingsprotokoll_jahr" xfId="164"/>
    <cellStyle name="40 % - Akzent5" xfId="165"/>
    <cellStyle name="40 % - Akzent5_8 Wo-Plan" xfId="166"/>
    <cellStyle name="40 % - Akzent5_Biorhythmus" xfId="167"/>
    <cellStyle name="40 % - Akzent5_Juli-Aug" xfId="168"/>
    <cellStyle name="40 % - Akzent5_Mai-Juni" xfId="169"/>
    <cellStyle name="40 % - Akzent5_März-April" xfId="170"/>
    <cellStyle name="40 % - Akzent5_Nov-Dez" xfId="171"/>
    <cellStyle name="40 % - Akzent5_Planung" xfId="172"/>
    <cellStyle name="40 % - Akzent5_trainingsprotokoll_jahr" xfId="173"/>
    <cellStyle name="40 % - Akzent6" xfId="174"/>
    <cellStyle name="40 % - Akzent6_8 Wo-Plan" xfId="175"/>
    <cellStyle name="40 % - Akzent6_Biorhythmus" xfId="176"/>
    <cellStyle name="40 % - Akzent6_Juli-Aug" xfId="177"/>
    <cellStyle name="40 % - Akzent6_Mai-Juni" xfId="178"/>
    <cellStyle name="40 % - Akzent6_März-April" xfId="179"/>
    <cellStyle name="40 % - Akzent6_Nov-Dez" xfId="180"/>
    <cellStyle name="40 % - Akzent6_Planung" xfId="181"/>
    <cellStyle name="40 % - Akzent6_trainingsprotokoll_jahr" xfId="182"/>
    <cellStyle name="40% - Akzent1" xfId="183"/>
    <cellStyle name="40% - Akzent1_Jahresübersicht" xfId="184"/>
    <cellStyle name="40% - Akzent1_Nov-Dez" xfId="185"/>
    <cellStyle name="40% - Akzent1_TP_Torsten_Nov-15_Okt-16.xls Chart 1" xfId="186"/>
    <cellStyle name="40% - Akzent1_TP_Torsten_Nov-15_Okt-16.xls Chart 2" xfId="187"/>
    <cellStyle name="40% - Akzent1_TP_Torsten_Nov-15_Okt-16.xls Chart 3" xfId="188"/>
    <cellStyle name="40% - Akzent1_TP_Torsten_Nov-15_Okt-16.xls Chart 49" xfId="189"/>
    <cellStyle name="40% - Akzent1_TP_Torsten_Nov-15_Okt-16.xls Chart 5" xfId="190"/>
    <cellStyle name="40% - Akzent1_trainingsprotokoll_jahr" xfId="191"/>
    <cellStyle name="40% - Akzent1_trainingsprotokoll_jahr0" xfId="192"/>
    <cellStyle name="40% - Akzent2" xfId="193"/>
    <cellStyle name="40% - Akzent2_Jahresübersicht" xfId="194"/>
    <cellStyle name="40% - Akzent2_Nov-Dez" xfId="195"/>
    <cellStyle name="40% - Akzent2_TP_Torsten_Nov-15_Okt-16.xls Chart 1" xfId="196"/>
    <cellStyle name="40% - Akzent2_TP_Torsten_Nov-15_Okt-16.xls Chart 2" xfId="197"/>
    <cellStyle name="40% - Akzent2_TP_Torsten_Nov-15_Okt-16.xls Chart 3" xfId="198"/>
    <cellStyle name="40% - Akzent2_TP_Torsten_Nov-15_Okt-16.xls Chart 49" xfId="199"/>
    <cellStyle name="40% - Akzent2_TP_Torsten_Nov-15_Okt-16.xls Chart 5" xfId="200"/>
    <cellStyle name="40% - Akzent2_trainingsprotokoll_jahr" xfId="201"/>
    <cellStyle name="40% - Akzent2_trainingsprotokoll_jahr0" xfId="202"/>
    <cellStyle name="40% - Akzent3" xfId="203"/>
    <cellStyle name="40% - Akzent3_Jahresübersicht" xfId="204"/>
    <cellStyle name="40% - Akzent3_Nov-Dez" xfId="205"/>
    <cellStyle name="40% - Akzent3_TP_Torsten_Nov-15_Okt-16.xls Chart 1" xfId="206"/>
    <cellStyle name="40% - Akzent3_TP_Torsten_Nov-15_Okt-16.xls Chart 2" xfId="207"/>
    <cellStyle name="40% - Akzent3_TP_Torsten_Nov-15_Okt-16.xls Chart 3" xfId="208"/>
    <cellStyle name="40% - Akzent3_TP_Torsten_Nov-15_Okt-16.xls Chart 49" xfId="209"/>
    <cellStyle name="40% - Akzent3_TP_Torsten_Nov-15_Okt-16.xls Chart 5" xfId="210"/>
    <cellStyle name="40% - Akzent3_trainingsprotokoll_jahr" xfId="211"/>
    <cellStyle name="40% - Akzent3_trainingsprotokoll_jahr0" xfId="212"/>
    <cellStyle name="40% - Akzent4" xfId="213"/>
    <cellStyle name="40% - Akzent4_Jahresübersicht" xfId="214"/>
    <cellStyle name="40% - Akzent4_Nov-Dez" xfId="215"/>
    <cellStyle name="40% - Akzent4_TP_Torsten_Nov-15_Okt-16.xls Chart 1" xfId="216"/>
    <cellStyle name="40% - Akzent4_TP_Torsten_Nov-15_Okt-16.xls Chart 2" xfId="217"/>
    <cellStyle name="40% - Akzent4_TP_Torsten_Nov-15_Okt-16.xls Chart 3" xfId="218"/>
    <cellStyle name="40% - Akzent4_TP_Torsten_Nov-15_Okt-16.xls Chart 49" xfId="219"/>
    <cellStyle name="40% - Akzent4_TP_Torsten_Nov-15_Okt-16.xls Chart 5" xfId="220"/>
    <cellStyle name="40% - Akzent4_trainingsprotokoll_jahr" xfId="221"/>
    <cellStyle name="40% - Akzent4_trainingsprotokoll_jahr0" xfId="222"/>
    <cellStyle name="40% - Akzent5" xfId="223"/>
    <cellStyle name="40% - Akzent5_Jahresübersicht" xfId="224"/>
    <cellStyle name="40% - Akzent5_Nov-Dez" xfId="225"/>
    <cellStyle name="40% - Akzent5_TP_Torsten_Nov-15_Okt-16.xls Chart 1" xfId="226"/>
    <cellStyle name="40% - Akzent5_TP_Torsten_Nov-15_Okt-16.xls Chart 2" xfId="227"/>
    <cellStyle name="40% - Akzent5_TP_Torsten_Nov-15_Okt-16.xls Chart 3" xfId="228"/>
    <cellStyle name="40% - Akzent5_TP_Torsten_Nov-15_Okt-16.xls Chart 49" xfId="229"/>
    <cellStyle name="40% - Akzent5_TP_Torsten_Nov-15_Okt-16.xls Chart 5" xfId="230"/>
    <cellStyle name="40% - Akzent5_trainingsprotokoll_jahr" xfId="231"/>
    <cellStyle name="40% - Akzent5_trainingsprotokoll_jahr0" xfId="232"/>
    <cellStyle name="40% - Akzent6" xfId="233"/>
    <cellStyle name="40% - Akzent6_Jahresübersicht" xfId="234"/>
    <cellStyle name="40% - Akzent6_Nov-Dez" xfId="235"/>
    <cellStyle name="40% - Akzent6_TP_Torsten_Nov-15_Okt-16.xls Chart 1" xfId="236"/>
    <cellStyle name="40% - Akzent6_TP_Torsten_Nov-15_Okt-16.xls Chart 2" xfId="237"/>
    <cellStyle name="40% - Akzent6_TP_Torsten_Nov-15_Okt-16.xls Chart 3" xfId="238"/>
    <cellStyle name="40% - Akzent6_TP_Torsten_Nov-15_Okt-16.xls Chart 49" xfId="239"/>
    <cellStyle name="40% - Akzent6_TP_Torsten_Nov-15_Okt-16.xls Chart 5" xfId="240"/>
    <cellStyle name="40% - Akzent6_trainingsprotokoll_jahr" xfId="241"/>
    <cellStyle name="40% - Akzent6_trainingsprotokoll_jahr0" xfId="242"/>
    <cellStyle name="60 % - Akzent1" xfId="243"/>
    <cellStyle name="60 % - Akzent1_8 Wo-Plan" xfId="244"/>
    <cellStyle name="60 % - Akzent1_Biorhythmus" xfId="245"/>
    <cellStyle name="60 % - Akzent1_Juli-Aug" xfId="246"/>
    <cellStyle name="60 % - Akzent1_Mai-Juni" xfId="247"/>
    <cellStyle name="60 % - Akzent1_März-April" xfId="248"/>
    <cellStyle name="60 % - Akzent1_Nov-Dez" xfId="249"/>
    <cellStyle name="60 % - Akzent1_Planung" xfId="250"/>
    <cellStyle name="60 % - Akzent1_trainingsprotokoll_jahr" xfId="251"/>
    <cellStyle name="60 % - Akzent2" xfId="252"/>
    <cellStyle name="60 % - Akzent2_8 Wo-Plan" xfId="253"/>
    <cellStyle name="60 % - Akzent2_Biorhythmus" xfId="254"/>
    <cellStyle name="60 % - Akzent2_Juli-Aug" xfId="255"/>
    <cellStyle name="60 % - Akzent2_Mai-Juni" xfId="256"/>
    <cellStyle name="60 % - Akzent2_März-April" xfId="257"/>
    <cellStyle name="60 % - Akzent2_Nov-Dez" xfId="258"/>
    <cellStyle name="60 % - Akzent2_Planung" xfId="259"/>
    <cellStyle name="60 % - Akzent2_trainingsprotokoll_jahr" xfId="260"/>
    <cellStyle name="60 % - Akzent3" xfId="261"/>
    <cellStyle name="60 % - Akzent3_8 Wo-Plan" xfId="262"/>
    <cellStyle name="60 % - Akzent3_Biorhythmus" xfId="263"/>
    <cellStyle name="60 % - Akzent3_Juli-Aug" xfId="264"/>
    <cellStyle name="60 % - Akzent3_Mai-Juni" xfId="265"/>
    <cellStyle name="60 % - Akzent3_März-April" xfId="266"/>
    <cellStyle name="60 % - Akzent3_Nov-Dez" xfId="267"/>
    <cellStyle name="60 % - Akzent3_Planung" xfId="268"/>
    <cellStyle name="60 % - Akzent3_trainingsprotokoll_jahr" xfId="269"/>
    <cellStyle name="60 % - Akzent4" xfId="270"/>
    <cellStyle name="60 % - Akzent4_8 Wo-Plan" xfId="271"/>
    <cellStyle name="60 % - Akzent4_Biorhythmus" xfId="272"/>
    <cellStyle name="60 % - Akzent4_Juli-Aug" xfId="273"/>
    <cellStyle name="60 % - Akzent4_Mai-Juni" xfId="274"/>
    <cellStyle name="60 % - Akzent4_März-April" xfId="275"/>
    <cellStyle name="60 % - Akzent4_Nov-Dez" xfId="276"/>
    <cellStyle name="60 % - Akzent4_Planung" xfId="277"/>
    <cellStyle name="60 % - Akzent4_trainingsprotokoll_jahr" xfId="278"/>
    <cellStyle name="60 % - Akzent5" xfId="279"/>
    <cellStyle name="60 % - Akzent5_8 Wo-Plan" xfId="280"/>
    <cellStyle name="60 % - Akzent5_Biorhythmus" xfId="281"/>
    <cellStyle name="60 % - Akzent5_Juli-Aug" xfId="282"/>
    <cellStyle name="60 % - Akzent5_Mai-Juni" xfId="283"/>
    <cellStyle name="60 % - Akzent5_März-April" xfId="284"/>
    <cellStyle name="60 % - Akzent5_Nov-Dez" xfId="285"/>
    <cellStyle name="60 % - Akzent5_Planung" xfId="286"/>
    <cellStyle name="60 % - Akzent5_trainingsprotokoll_jahr" xfId="287"/>
    <cellStyle name="60 % - Akzent6" xfId="288"/>
    <cellStyle name="60 % - Akzent6_8 Wo-Plan" xfId="289"/>
    <cellStyle name="60 % - Akzent6_Biorhythmus" xfId="290"/>
    <cellStyle name="60 % - Akzent6_Juli-Aug" xfId="291"/>
    <cellStyle name="60 % - Akzent6_Mai-Juni" xfId="292"/>
    <cellStyle name="60 % - Akzent6_März-April" xfId="293"/>
    <cellStyle name="60 % - Akzent6_Nov-Dez" xfId="294"/>
    <cellStyle name="60 % - Akzent6_Planung" xfId="295"/>
    <cellStyle name="60 % - Akzent6_trainingsprotokoll_jahr" xfId="296"/>
    <cellStyle name="60% - Akzent1" xfId="297"/>
    <cellStyle name="60% - Akzent1_Jahresübersicht" xfId="298"/>
    <cellStyle name="60% - Akzent1_Nov-Dez" xfId="299"/>
    <cellStyle name="60% - Akzent1_TP_Torsten_Nov-15_Okt-16.xls Chart 1" xfId="300"/>
    <cellStyle name="60% - Akzent1_TP_Torsten_Nov-15_Okt-16.xls Chart 2" xfId="301"/>
    <cellStyle name="60% - Akzent1_TP_Torsten_Nov-15_Okt-16.xls Chart 3" xfId="302"/>
    <cellStyle name="60% - Akzent1_TP_Torsten_Nov-15_Okt-16.xls Chart 49" xfId="303"/>
    <cellStyle name="60% - Akzent1_TP_Torsten_Nov-15_Okt-16.xls Chart 5" xfId="304"/>
    <cellStyle name="60% - Akzent1_trainingsprotokoll_jahr" xfId="305"/>
    <cellStyle name="60% - Akzent1_trainingsprotokoll_jahr0" xfId="306"/>
    <cellStyle name="60% - Akzent2" xfId="307"/>
    <cellStyle name="60% - Akzent2_Jahresübersicht" xfId="308"/>
    <cellStyle name="60% - Akzent2_Nov-Dez" xfId="309"/>
    <cellStyle name="60% - Akzent2_TP_Torsten_Nov-15_Okt-16.xls Chart 1" xfId="310"/>
    <cellStyle name="60% - Akzent2_TP_Torsten_Nov-15_Okt-16.xls Chart 2" xfId="311"/>
    <cellStyle name="60% - Akzent2_TP_Torsten_Nov-15_Okt-16.xls Chart 3" xfId="312"/>
    <cellStyle name="60% - Akzent2_TP_Torsten_Nov-15_Okt-16.xls Chart 49" xfId="313"/>
    <cellStyle name="60% - Akzent2_TP_Torsten_Nov-15_Okt-16.xls Chart 5" xfId="314"/>
    <cellStyle name="60% - Akzent2_trainingsprotokoll_jahr" xfId="315"/>
    <cellStyle name="60% - Akzent2_trainingsprotokoll_jahr0" xfId="316"/>
    <cellStyle name="60% - Akzent3" xfId="317"/>
    <cellStyle name="60% - Akzent3_Jahresübersicht" xfId="318"/>
    <cellStyle name="60% - Akzent3_Nov-Dez" xfId="319"/>
    <cellStyle name="60% - Akzent3_TP_Torsten_Nov-15_Okt-16.xls Chart 1" xfId="320"/>
    <cellStyle name="60% - Akzent3_TP_Torsten_Nov-15_Okt-16.xls Chart 2" xfId="321"/>
    <cellStyle name="60% - Akzent3_TP_Torsten_Nov-15_Okt-16.xls Chart 3" xfId="322"/>
    <cellStyle name="60% - Akzent3_TP_Torsten_Nov-15_Okt-16.xls Chart 49" xfId="323"/>
    <cellStyle name="60% - Akzent3_TP_Torsten_Nov-15_Okt-16.xls Chart 5" xfId="324"/>
    <cellStyle name="60% - Akzent3_trainingsprotokoll_jahr" xfId="325"/>
    <cellStyle name="60% - Akzent3_trainingsprotokoll_jahr0" xfId="326"/>
    <cellStyle name="60% - Akzent4" xfId="327"/>
    <cellStyle name="60% - Akzent4_Jahresübersicht" xfId="328"/>
    <cellStyle name="60% - Akzent4_Nov-Dez" xfId="329"/>
    <cellStyle name="60% - Akzent4_TP_Torsten_Nov-15_Okt-16.xls Chart 1" xfId="330"/>
    <cellStyle name="60% - Akzent4_TP_Torsten_Nov-15_Okt-16.xls Chart 2" xfId="331"/>
    <cellStyle name="60% - Akzent4_TP_Torsten_Nov-15_Okt-16.xls Chart 3" xfId="332"/>
    <cellStyle name="60% - Akzent4_TP_Torsten_Nov-15_Okt-16.xls Chart 49" xfId="333"/>
    <cellStyle name="60% - Akzent4_TP_Torsten_Nov-15_Okt-16.xls Chart 5" xfId="334"/>
    <cellStyle name="60% - Akzent4_trainingsprotokoll_jahr" xfId="335"/>
    <cellStyle name="60% - Akzent4_trainingsprotokoll_jahr0" xfId="336"/>
    <cellStyle name="60% - Akzent5" xfId="337"/>
    <cellStyle name="60% - Akzent5_Jahresübersicht" xfId="338"/>
    <cellStyle name="60% - Akzent5_Nov-Dez" xfId="339"/>
    <cellStyle name="60% - Akzent5_TP_Torsten_Nov-15_Okt-16.xls Chart 1" xfId="340"/>
    <cellStyle name="60% - Akzent5_TP_Torsten_Nov-15_Okt-16.xls Chart 2" xfId="341"/>
    <cellStyle name="60% - Akzent5_TP_Torsten_Nov-15_Okt-16.xls Chart 3" xfId="342"/>
    <cellStyle name="60% - Akzent5_TP_Torsten_Nov-15_Okt-16.xls Chart 49" xfId="343"/>
    <cellStyle name="60% - Akzent5_TP_Torsten_Nov-15_Okt-16.xls Chart 5" xfId="344"/>
    <cellStyle name="60% - Akzent5_trainingsprotokoll_jahr" xfId="345"/>
    <cellStyle name="60% - Akzent5_trainingsprotokoll_jahr0" xfId="346"/>
    <cellStyle name="60% - Akzent6" xfId="347"/>
    <cellStyle name="60% - Akzent6_Jahresübersicht" xfId="348"/>
    <cellStyle name="60% - Akzent6_Nov-Dez" xfId="349"/>
    <cellStyle name="60% - Akzent6_TP_Torsten_Nov-15_Okt-16.xls Chart 1" xfId="350"/>
    <cellStyle name="60% - Akzent6_TP_Torsten_Nov-15_Okt-16.xls Chart 2" xfId="351"/>
    <cellStyle name="60% - Akzent6_TP_Torsten_Nov-15_Okt-16.xls Chart 3" xfId="352"/>
    <cellStyle name="60% - Akzent6_TP_Torsten_Nov-15_Okt-16.xls Chart 49" xfId="353"/>
    <cellStyle name="60% - Akzent6_TP_Torsten_Nov-15_Okt-16.xls Chart 5" xfId="354"/>
    <cellStyle name="60% - Akzent6_trainingsprotokoll_jahr" xfId="355"/>
    <cellStyle name="60% - Akzent6_trainingsprotokoll_jahr0" xfId="356"/>
    <cellStyle name="Akzent1" xfId="357"/>
    <cellStyle name="Akzent1_8 Wo-Plan" xfId="358"/>
    <cellStyle name="Akzent1_Biorhythmus" xfId="359"/>
    <cellStyle name="Akzent1_Jahresübersicht" xfId="360"/>
    <cellStyle name="Akzent1_Juli-Aug" xfId="361"/>
    <cellStyle name="Akzent1_Mai-Juni" xfId="362"/>
    <cellStyle name="Akzent1_März-April" xfId="363"/>
    <cellStyle name="Akzent1_März-April_1" xfId="364"/>
    <cellStyle name="Akzent1_Nov-Dez" xfId="365"/>
    <cellStyle name="Akzent1_Planung" xfId="366"/>
    <cellStyle name="Akzent1_TP_Torsten_Nov-15_Okt-16.xls Chart 1" xfId="367"/>
    <cellStyle name="Akzent1_TP_Torsten_Nov-15_Okt-16.xls Chart 2" xfId="368"/>
    <cellStyle name="Akzent1_TP_Torsten_Nov-15_Okt-16.xls Chart 3" xfId="369"/>
    <cellStyle name="Akzent1_TP_Torsten_Nov-15_Okt-16.xls Chart 49" xfId="370"/>
    <cellStyle name="Akzent1_TP_Torsten_Nov-15_Okt-16.xls Chart 5" xfId="371"/>
    <cellStyle name="Akzent1_trainingsprotokoll_jahr" xfId="372"/>
    <cellStyle name="Akzent1_trainingsprotokoll_jahr_1" xfId="373"/>
    <cellStyle name="Akzent1_trainingsprotokoll_jahr_8 Wo-Plan" xfId="374"/>
    <cellStyle name="Akzent1_trainingsprotokoll_jahr_Juli-Aug" xfId="375"/>
    <cellStyle name="Akzent1_trainingsprotokoll_jahr_Mai-Juni" xfId="376"/>
    <cellStyle name="Akzent1_trainingsprotokoll_jahr_März-April" xfId="377"/>
    <cellStyle name="Akzent1_trainingsprotokoll_jahr_Nov-Dez" xfId="378"/>
    <cellStyle name="Akzent1_trainingsprotokoll_jahr_Planung" xfId="379"/>
    <cellStyle name="Akzent1_trainingsprotokoll_jahr_Planung_1" xfId="380"/>
    <cellStyle name="Akzent1_trainingsprotokoll_jahr0" xfId="381"/>
    <cellStyle name="Akzent2" xfId="382"/>
    <cellStyle name="Akzent2_8 Wo-Plan" xfId="383"/>
    <cellStyle name="Akzent2_Biorhythmus" xfId="384"/>
    <cellStyle name="Akzent2_Jahresübersicht" xfId="385"/>
    <cellStyle name="Akzent2_Juli-Aug" xfId="386"/>
    <cellStyle name="Akzent2_Mai-Juni" xfId="387"/>
    <cellStyle name="Akzent2_März-April" xfId="388"/>
    <cellStyle name="Akzent2_März-April_1" xfId="389"/>
    <cellStyle name="Akzent2_Nov-Dez" xfId="390"/>
    <cellStyle name="Akzent2_Planung" xfId="391"/>
    <cellStyle name="Akzent2_TP_Torsten_Nov-15_Okt-16.xls Chart 1" xfId="392"/>
    <cellStyle name="Akzent2_TP_Torsten_Nov-15_Okt-16.xls Chart 2" xfId="393"/>
    <cellStyle name="Akzent2_TP_Torsten_Nov-15_Okt-16.xls Chart 3" xfId="394"/>
    <cellStyle name="Akzent2_TP_Torsten_Nov-15_Okt-16.xls Chart 49" xfId="395"/>
    <cellStyle name="Akzent2_TP_Torsten_Nov-15_Okt-16.xls Chart 5" xfId="396"/>
    <cellStyle name="Akzent2_trainingsprotokoll_jahr" xfId="397"/>
    <cellStyle name="Akzent2_trainingsprotokoll_jahr0" xfId="398"/>
    <cellStyle name="Akzent3" xfId="399"/>
    <cellStyle name="Akzent3_8 Wo-Plan" xfId="400"/>
    <cellStyle name="Akzent3_Biorhythmus" xfId="401"/>
    <cellStyle name="Akzent3_Jahresübersicht" xfId="402"/>
    <cellStyle name="Akzent3_Juli-Aug" xfId="403"/>
    <cellStyle name="Akzent3_Mai-Juni" xfId="404"/>
    <cellStyle name="Akzent3_März-April" xfId="405"/>
    <cellStyle name="Akzent3_März-April_1" xfId="406"/>
    <cellStyle name="Akzent3_Nov-Dez" xfId="407"/>
    <cellStyle name="Akzent3_Planung" xfId="408"/>
    <cellStyle name="Akzent3_TP_Torsten_Nov-15_Okt-16.xls Chart 1" xfId="409"/>
    <cellStyle name="Akzent3_TP_Torsten_Nov-15_Okt-16.xls Chart 2" xfId="410"/>
    <cellStyle name="Akzent3_TP_Torsten_Nov-15_Okt-16.xls Chart 3" xfId="411"/>
    <cellStyle name="Akzent3_TP_Torsten_Nov-15_Okt-16.xls Chart 49" xfId="412"/>
    <cellStyle name="Akzent3_TP_Torsten_Nov-15_Okt-16.xls Chart 5" xfId="413"/>
    <cellStyle name="Akzent3_trainingsprotokoll_jahr" xfId="414"/>
    <cellStyle name="Akzent3_trainingsprotokoll_jahr0" xfId="415"/>
    <cellStyle name="Akzent4" xfId="416"/>
    <cellStyle name="Akzent4_8 Wo-Plan" xfId="417"/>
    <cellStyle name="Akzent4_Biorhythmus" xfId="418"/>
    <cellStyle name="Akzent4_Jahresübersicht" xfId="419"/>
    <cellStyle name="Akzent4_Juli-Aug" xfId="420"/>
    <cellStyle name="Akzent4_Mai-Juni" xfId="421"/>
    <cellStyle name="Akzent4_März-April" xfId="422"/>
    <cellStyle name="Akzent4_März-April_1" xfId="423"/>
    <cellStyle name="Akzent4_Nov-Dez" xfId="424"/>
    <cellStyle name="Akzent4_Planung" xfId="425"/>
    <cellStyle name="Akzent4_TP_Torsten_Nov-15_Okt-16.xls Chart 1" xfId="426"/>
    <cellStyle name="Akzent4_TP_Torsten_Nov-15_Okt-16.xls Chart 2" xfId="427"/>
    <cellStyle name="Akzent4_TP_Torsten_Nov-15_Okt-16.xls Chart 3" xfId="428"/>
    <cellStyle name="Akzent4_TP_Torsten_Nov-15_Okt-16.xls Chart 49" xfId="429"/>
    <cellStyle name="Akzent4_TP_Torsten_Nov-15_Okt-16.xls Chart 5" xfId="430"/>
    <cellStyle name="Akzent4_trainingsprotokoll_jahr" xfId="431"/>
    <cellStyle name="Akzent4_trainingsprotokoll_jahr_1" xfId="432"/>
    <cellStyle name="Akzent4_trainingsprotokoll_jahr_8 Wo-Plan" xfId="433"/>
    <cellStyle name="Akzent4_trainingsprotokoll_jahr_Juli-Aug" xfId="434"/>
    <cellStyle name="Akzent4_trainingsprotokoll_jahr_Mai-Juni" xfId="435"/>
    <cellStyle name="Akzent4_trainingsprotokoll_jahr_März-April" xfId="436"/>
    <cellStyle name="Akzent4_trainingsprotokoll_jahr_Nov-Dez" xfId="437"/>
    <cellStyle name="Akzent4_trainingsprotokoll_jahr_Planung" xfId="438"/>
    <cellStyle name="Akzent4_trainingsprotokoll_jahr_Planung_1" xfId="439"/>
    <cellStyle name="Akzent4_trainingsprotokoll_jahr0" xfId="440"/>
    <cellStyle name="Akzent5" xfId="441"/>
    <cellStyle name="Akzent5_8 Wo-Plan" xfId="442"/>
    <cellStyle name="Akzent5_Biorhythmus" xfId="443"/>
    <cellStyle name="Akzent5_Jahresübersicht" xfId="444"/>
    <cellStyle name="Akzent5_Juli-Aug" xfId="445"/>
    <cellStyle name="Akzent5_Mai-Juni" xfId="446"/>
    <cellStyle name="Akzent5_März-April" xfId="447"/>
    <cellStyle name="Akzent5_März-April_1" xfId="448"/>
    <cellStyle name="Akzent5_Nov-Dez" xfId="449"/>
    <cellStyle name="Akzent5_Planung" xfId="450"/>
    <cellStyle name="Akzent5_TP_Torsten_Nov-15_Okt-16.xls Chart 1" xfId="451"/>
    <cellStyle name="Akzent5_TP_Torsten_Nov-15_Okt-16.xls Chart 2" xfId="452"/>
    <cellStyle name="Akzent5_TP_Torsten_Nov-15_Okt-16.xls Chart 3" xfId="453"/>
    <cellStyle name="Akzent5_TP_Torsten_Nov-15_Okt-16.xls Chart 49" xfId="454"/>
    <cellStyle name="Akzent5_TP_Torsten_Nov-15_Okt-16.xls Chart 5" xfId="455"/>
    <cellStyle name="Akzent5_trainingsprotokoll_jahr" xfId="456"/>
    <cellStyle name="Akzent5_trainingsprotokoll_jahr0" xfId="457"/>
    <cellStyle name="Akzent6" xfId="458"/>
    <cellStyle name="Akzent6_8 Wo-Plan" xfId="459"/>
    <cellStyle name="Akzent6_Biorhythmus" xfId="460"/>
    <cellStyle name="Akzent6_Jahresübersicht" xfId="461"/>
    <cellStyle name="Akzent6_Juli-Aug" xfId="462"/>
    <cellStyle name="Akzent6_Mai-Juni" xfId="463"/>
    <cellStyle name="Akzent6_März-April" xfId="464"/>
    <cellStyle name="Akzent6_März-April_1" xfId="465"/>
    <cellStyle name="Akzent6_Nov-Dez" xfId="466"/>
    <cellStyle name="Akzent6_Planung" xfId="467"/>
    <cellStyle name="Akzent6_TP_Torsten_Nov-15_Okt-16.xls Chart 1" xfId="468"/>
    <cellStyle name="Akzent6_TP_Torsten_Nov-15_Okt-16.xls Chart 2" xfId="469"/>
    <cellStyle name="Akzent6_TP_Torsten_Nov-15_Okt-16.xls Chart 3" xfId="470"/>
    <cellStyle name="Akzent6_TP_Torsten_Nov-15_Okt-16.xls Chart 49" xfId="471"/>
    <cellStyle name="Akzent6_TP_Torsten_Nov-15_Okt-16.xls Chart 5" xfId="472"/>
    <cellStyle name="Akzent6_trainingsprotokoll_jahr" xfId="473"/>
    <cellStyle name="Akzent6_trainingsprotokoll_jahr0" xfId="474"/>
    <cellStyle name="Ausgabe" xfId="475"/>
    <cellStyle name="Ausgabe_März-April" xfId="476"/>
    <cellStyle name="Ausgabe_TP_Torsten_Nov-15_Okt-16.xls Chart 1" xfId="477"/>
    <cellStyle name="Ausgabe_TP_Torsten_Nov-15_Okt-16.xls Chart 2" xfId="478"/>
    <cellStyle name="Ausgabe_TP_Torsten_Nov-15_Okt-16.xls Chart 3" xfId="479"/>
    <cellStyle name="Ausgabe_TP_Torsten_Nov-15_Okt-16.xls Chart 49" xfId="480"/>
    <cellStyle name="Ausgabe_TP_Torsten_Nov-15_Okt-16.xls Chart 5" xfId="481"/>
    <cellStyle name="Ausgabe_trainingsprotokoll_jahr" xfId="482"/>
    <cellStyle name="Ausgabe_trainingsprotokoll_jahr0" xfId="483"/>
    <cellStyle name="Berechnung" xfId="484"/>
    <cellStyle name="Berechnung_März-April" xfId="485"/>
    <cellStyle name="Berechnung_TP_Torsten_Nov-15_Okt-16.xls Chart 1" xfId="486"/>
    <cellStyle name="Berechnung_TP_Torsten_Nov-15_Okt-16.xls Chart 2" xfId="487"/>
    <cellStyle name="Berechnung_TP_Torsten_Nov-15_Okt-16.xls Chart 3" xfId="488"/>
    <cellStyle name="Berechnung_TP_Torsten_Nov-15_Okt-16.xls Chart 49" xfId="489"/>
    <cellStyle name="Berechnung_TP_Torsten_Nov-15_Okt-16.xls Chart 5" xfId="490"/>
    <cellStyle name="Berechnung_trainingsprotokoll_jahr" xfId="491"/>
    <cellStyle name="Berechnung_trainingsprotokoll_jahr0" xfId="492"/>
    <cellStyle name="Followed Hyperlink" xfId="493"/>
    <cellStyle name="Comma" xfId="494"/>
    <cellStyle name="Comma [0]" xfId="495"/>
    <cellStyle name="Dezimal [0]_Berechnung" xfId="496"/>
    <cellStyle name="Dezimal [0]_Biorhythmus" xfId="497"/>
    <cellStyle name="Dezimal [0]_Jahresübersicht" xfId="498"/>
    <cellStyle name="Dezimal [0]_Nov-Dez" xfId="499"/>
    <cellStyle name="Dezimal [0]_TP_Torsten_Nov-15_Okt-16.xls Chart 1" xfId="500"/>
    <cellStyle name="Dezimal [0]_TP_Torsten_Nov-15_Okt-16.xls Chart 2" xfId="501"/>
    <cellStyle name="Dezimal [0]_TP_Torsten_Nov-15_Okt-16.xls Chart 3" xfId="502"/>
    <cellStyle name="Dezimal [0]_TP_Torsten_Nov-15_Okt-16.xls Chart 49" xfId="503"/>
    <cellStyle name="Dezimal [0]_TP_Torsten_Nov-15_Okt-16.xls Chart 5" xfId="504"/>
    <cellStyle name="Dezimal [0]_trainingsprotokoll_jahr" xfId="505"/>
    <cellStyle name="Dezimal [0]_trainingsprotokoll_jahr0" xfId="506"/>
    <cellStyle name="Dezimal_Berechnung" xfId="507"/>
    <cellStyle name="Dezimal_Biorhythmus" xfId="508"/>
    <cellStyle name="Dezimal_Jahresübersicht" xfId="509"/>
    <cellStyle name="Dezimal_Nov-Dez" xfId="510"/>
    <cellStyle name="Dezimal_TP_Torsten_Nov-15_Okt-16.xls Chart 1" xfId="511"/>
    <cellStyle name="Dezimal_TP_Torsten_Nov-15_Okt-16.xls Chart 2" xfId="512"/>
    <cellStyle name="Dezimal_TP_Torsten_Nov-15_Okt-16.xls Chart 3" xfId="513"/>
    <cellStyle name="Dezimal_TP_Torsten_Nov-15_Okt-16.xls Chart 49" xfId="514"/>
    <cellStyle name="Dezimal_TP_Torsten_Nov-15_Okt-16.xls Chart 5" xfId="515"/>
    <cellStyle name="Dezimal_trainingsprotokoll_jahr" xfId="516"/>
    <cellStyle name="Dezimal_trainingsprotokoll_jahr0" xfId="517"/>
    <cellStyle name="Eingabe" xfId="518"/>
    <cellStyle name="Eingabe_März-April" xfId="519"/>
    <cellStyle name="Eingabe_TP_Torsten_Nov-15_Okt-16.xls Chart 1" xfId="520"/>
    <cellStyle name="Eingabe_TP_Torsten_Nov-15_Okt-16.xls Chart 2" xfId="521"/>
    <cellStyle name="Eingabe_TP_Torsten_Nov-15_Okt-16.xls Chart 3" xfId="522"/>
    <cellStyle name="Eingabe_TP_Torsten_Nov-15_Okt-16.xls Chart 49" xfId="523"/>
    <cellStyle name="Eingabe_TP_Torsten_Nov-15_Okt-16.xls Chart 5" xfId="524"/>
    <cellStyle name="Ergebnis" xfId="525"/>
    <cellStyle name="Ergebnis 1" xfId="526"/>
    <cellStyle name="Ergebnis_8 Wo-Plan" xfId="527"/>
    <cellStyle name="Ergebnis_Biorhythmus" xfId="528"/>
    <cellStyle name="Ergebnis_Jahresübersicht" xfId="529"/>
    <cellStyle name="Ergebnis_Juli-Aug" xfId="530"/>
    <cellStyle name="Ergebnis_Mai-Juni" xfId="531"/>
    <cellStyle name="Ergebnis_März-April" xfId="532"/>
    <cellStyle name="Ergebnis_Nov-Dez" xfId="533"/>
    <cellStyle name="Ergebnis_Planung" xfId="534"/>
    <cellStyle name="Ergebnis_trainingsprotokoll_jahr" xfId="535"/>
    <cellStyle name="Ergebnis_trainingsprotokoll_jahr_1" xfId="536"/>
    <cellStyle name="Ergebnis_trainingsprotokoll_jahr_8 Wo-Plan" xfId="537"/>
    <cellStyle name="Ergebnis_trainingsprotokoll_jahr_Juli-Aug" xfId="538"/>
    <cellStyle name="Ergebnis_trainingsprotokoll_jahr_Mai-Juni" xfId="539"/>
    <cellStyle name="Ergebnis_trainingsprotokoll_jahr_März-April" xfId="540"/>
    <cellStyle name="Ergebnis_trainingsprotokoll_jahr_Nov-Dez" xfId="541"/>
    <cellStyle name="Ergebnis_trainingsprotokoll_jahr_Planung" xfId="542"/>
    <cellStyle name="Ergebnis_trainingsprotokoll_jahr_Planung_1" xfId="543"/>
    <cellStyle name="Ergebnis_trainingsprotokoll_jahr0" xfId="544"/>
    <cellStyle name="Erklärender Text" xfId="545"/>
    <cellStyle name="ft" xfId="546"/>
    <cellStyle name="Gut" xfId="547"/>
    <cellStyle name="Gut_März-April" xfId="548"/>
    <cellStyle name="Gut_TP_Torsten_Nov-15_Okt-16.xls Chart 1" xfId="549"/>
    <cellStyle name="Gut_TP_Torsten_Nov-15_Okt-16.xls Chart 2" xfId="550"/>
    <cellStyle name="Gut_TP_Torsten_Nov-15_Okt-16.xls Chart 3" xfId="551"/>
    <cellStyle name="Gut_TP_Torsten_Nov-15_Okt-16.xls Chart 49" xfId="552"/>
    <cellStyle name="Gut_TP_Torsten_Nov-15_Okt-16.xls Chart 5" xfId="553"/>
    <cellStyle name="Hyperlink" xfId="554"/>
    <cellStyle name="Hyperlink_Jahresübersicht" xfId="555"/>
    <cellStyle name="Hyperlink_Nov-Dez" xfId="556"/>
    <cellStyle name="Hyperlink_TP_Torsten_Nov-15_Okt-16.xls Chart 1" xfId="557"/>
    <cellStyle name="Hyperlink_TP_Torsten_Nov-15_Okt-16.xls Chart 2" xfId="558"/>
    <cellStyle name="Hyperlink_TP_Torsten_Nov-15_Okt-16.xls Chart 3" xfId="559"/>
    <cellStyle name="Hyperlink_TP_Torsten_Nov-15_Okt-16.xls Chart 49" xfId="560"/>
    <cellStyle name="Hyperlink_TP_Torsten_Nov-15_Okt-16.xls Chart 5" xfId="561"/>
    <cellStyle name="Neutral" xfId="562"/>
    <cellStyle name="Neutral_März-April" xfId="563"/>
    <cellStyle name="Neutral_TP_Torsten_Nov-15_Okt-16.xls Chart 1" xfId="564"/>
    <cellStyle name="Neutral_TP_Torsten_Nov-15_Okt-16.xls Chart 2" xfId="565"/>
    <cellStyle name="Neutral_TP_Torsten_Nov-15_Okt-16.xls Chart 3" xfId="566"/>
    <cellStyle name="Neutral_TP_Torsten_Nov-15_Okt-16.xls Chart 49" xfId="567"/>
    <cellStyle name="Neutral_TP_Torsten_Nov-15_Okt-16.xls Chart 5" xfId="568"/>
    <cellStyle name="Notiz" xfId="569"/>
    <cellStyle name="Notiz_März-April" xfId="570"/>
    <cellStyle name="Notiz_TP_Torsten_Nov-15_Okt-16.xls Chart 1" xfId="571"/>
    <cellStyle name="Notiz_TP_Torsten_Nov-15_Okt-16.xls Chart 2" xfId="572"/>
    <cellStyle name="Notiz_TP_Torsten_Nov-15_Okt-16.xls Chart 3" xfId="573"/>
    <cellStyle name="Notiz_TP_Torsten_Nov-15_Okt-16.xls Chart 49" xfId="574"/>
    <cellStyle name="Notiz_TP_Torsten_Nov-15_Okt-16.xls Chart 5" xfId="575"/>
    <cellStyle name="Percent" xfId="576"/>
    <cellStyle name="Prozent_Berechnung" xfId="577"/>
    <cellStyle name="Prozent_Biorhythmus" xfId="578"/>
    <cellStyle name="Prozent_Jahresübersicht" xfId="579"/>
    <cellStyle name="Prozent_Nov-Dez" xfId="580"/>
    <cellStyle name="Prozent_TP_Torsten_Nov-15_Okt-16.xls Chart 1" xfId="581"/>
    <cellStyle name="Prozent_TP_Torsten_Nov-15_Okt-16.xls Chart 2" xfId="582"/>
    <cellStyle name="Prozent_TP_Torsten_Nov-15_Okt-16.xls Chart 3" xfId="583"/>
    <cellStyle name="Prozent_TP_Torsten_Nov-15_Okt-16.xls Chart 49" xfId="584"/>
    <cellStyle name="Prozent_TP_Torsten_Nov-15_Okt-16.xls Chart 5" xfId="585"/>
    <cellStyle name="Prozent_trainingsprotokoll_jahr" xfId="586"/>
    <cellStyle name="Prozent_trainingsprotokoll_jahr0" xfId="587"/>
    <cellStyle name="Schlecht" xfId="588"/>
    <cellStyle name="Schlecht_März-April" xfId="589"/>
    <cellStyle name="Schlecht_TP_Torsten_Nov-15_Okt-16.xls Chart 1" xfId="590"/>
    <cellStyle name="Schlecht_TP_Torsten_Nov-15_Okt-16.xls Chart 2" xfId="591"/>
    <cellStyle name="Schlecht_TP_Torsten_Nov-15_Okt-16.xls Chart 3" xfId="592"/>
    <cellStyle name="Schlecht_TP_Torsten_Nov-15_Okt-16.xls Chart 49" xfId="593"/>
    <cellStyle name="Schlecht_TP_Torsten_Nov-15_Okt-16.xls Chart 5" xfId="594"/>
    <cellStyle name="Standard_Berechnung" xfId="595"/>
    <cellStyle name="Standard_Biorhythmus" xfId="596"/>
    <cellStyle name="Standard_Jahresübersicht" xfId="597"/>
    <cellStyle name="Standard_Nov-Dez" xfId="598"/>
    <cellStyle name="Standard_TP_Torsten_Nov-15_Okt-16.xls Chart 1" xfId="599"/>
    <cellStyle name="Standard_TP_Torsten_Nov-15_Okt-16.xls Chart 2" xfId="600"/>
    <cellStyle name="Standard_TP_Torsten_Nov-15_Okt-16.xls Chart 3" xfId="601"/>
    <cellStyle name="Standard_TP_Torsten_Nov-15_Okt-16.xls Chart 49" xfId="602"/>
    <cellStyle name="Standard_TP_Torsten_Nov-15_Okt-16.xls Chart 5" xfId="603"/>
    <cellStyle name="Standard_trainingsprotokoll_jahr" xfId="604"/>
    <cellStyle name="Standard_trainingsprotokoll_jahr0" xfId="605"/>
    <cellStyle name="tag" xfId="606"/>
    <cellStyle name="tag_März-April" xfId="607"/>
    <cellStyle name="Überschrift" xfId="608"/>
    <cellStyle name="Überschrift 1" xfId="609"/>
    <cellStyle name="Überschrift 1_trainingsprotokoll_jahr" xfId="610"/>
    <cellStyle name="Überschrift 1_trainingsprotokoll_jahr0" xfId="611"/>
    <cellStyle name="Überschrift 2" xfId="612"/>
    <cellStyle name="Überschrift 2_trainingsprotokoll_jahr" xfId="613"/>
    <cellStyle name="Überschrift 2_trainingsprotokoll_jahr0" xfId="614"/>
    <cellStyle name="Überschrift 3" xfId="615"/>
    <cellStyle name="Überschrift 3_trainingsprotokoll_jahr" xfId="616"/>
    <cellStyle name="Überschrift 3_trainingsprotokoll_jahr0" xfId="617"/>
    <cellStyle name="Überschrift 4" xfId="618"/>
    <cellStyle name="Überschrift 4_trainingsprotokoll_jahr" xfId="619"/>
    <cellStyle name="Überschrift 4_trainingsprotokoll_jahr0" xfId="620"/>
    <cellStyle name="Überschrift 5" xfId="621"/>
    <cellStyle name="Überschrift_8 Wo-Plan" xfId="622"/>
    <cellStyle name="Überschrift_Biorhythmus" xfId="623"/>
    <cellStyle name="Überschrift_Jahresübersicht" xfId="624"/>
    <cellStyle name="Überschrift_Juli-Aug" xfId="625"/>
    <cellStyle name="Überschrift_Mai-Juni" xfId="626"/>
    <cellStyle name="Überschrift_März-April" xfId="627"/>
    <cellStyle name="Überschrift_Nov-Dez" xfId="628"/>
    <cellStyle name="Überschrift_Planung" xfId="629"/>
    <cellStyle name="Überschrift_trainingsprotokoll_jahr" xfId="630"/>
    <cellStyle name="Überschrift_trainingsprotokoll_jahr_1" xfId="631"/>
    <cellStyle name="Überschrift_trainingsprotokoll_jahr_8 Wo-Plan" xfId="632"/>
    <cellStyle name="Überschrift_trainingsprotokoll_jahr_Juli-Aug" xfId="633"/>
    <cellStyle name="Überschrift_trainingsprotokoll_jahr_Mai-Juni" xfId="634"/>
    <cellStyle name="Überschrift_trainingsprotokoll_jahr_März-April" xfId="635"/>
    <cellStyle name="Überschrift_trainingsprotokoll_jahr_Nov-Dez" xfId="636"/>
    <cellStyle name="Überschrift_trainingsprotokoll_jahr_Planung" xfId="637"/>
    <cellStyle name="Überschrift_trainingsprotokoll_jahr_Planung_1" xfId="638"/>
    <cellStyle name="Überschrift_trainingsprotokoll_jahr0" xfId="639"/>
    <cellStyle name="Verknüpfte Zelle" xfId="640"/>
    <cellStyle name="Currency" xfId="641"/>
    <cellStyle name="Currency [0]" xfId="642"/>
    <cellStyle name="Währung [0]_Berechnung" xfId="643"/>
    <cellStyle name="Währung [0]_Biorhythmus" xfId="644"/>
    <cellStyle name="Währung [0]_Jahresübersicht" xfId="645"/>
    <cellStyle name="Währung [0]_Nov-Dez" xfId="646"/>
    <cellStyle name="Währung [0]_TP_Torsten_Nov-15_Okt-16.xls Chart 1" xfId="647"/>
    <cellStyle name="Währung [0]_TP_Torsten_Nov-15_Okt-16.xls Chart 2" xfId="648"/>
    <cellStyle name="Währung [0]_TP_Torsten_Nov-15_Okt-16.xls Chart 3" xfId="649"/>
    <cellStyle name="Währung [0]_TP_Torsten_Nov-15_Okt-16.xls Chart 49" xfId="650"/>
    <cellStyle name="Währung [0]_TP_Torsten_Nov-15_Okt-16.xls Chart 5" xfId="651"/>
    <cellStyle name="Währung [0]_trainingsprotokoll_jahr" xfId="652"/>
    <cellStyle name="Währung [0]_trainingsprotokoll_jahr0" xfId="653"/>
    <cellStyle name="Währung_Berechnung" xfId="654"/>
    <cellStyle name="Währung_Biorhythmus" xfId="655"/>
    <cellStyle name="Währung_Jahresübersicht" xfId="656"/>
    <cellStyle name="Währung_Nov-Dez" xfId="657"/>
    <cellStyle name="Währung_TP_Torsten_Nov-15_Okt-16.xls Chart 1" xfId="658"/>
    <cellStyle name="Währung_TP_Torsten_Nov-15_Okt-16.xls Chart 2" xfId="659"/>
    <cellStyle name="Währung_TP_Torsten_Nov-15_Okt-16.xls Chart 3" xfId="660"/>
    <cellStyle name="Währung_TP_Torsten_Nov-15_Okt-16.xls Chart 49" xfId="661"/>
    <cellStyle name="Währung_TP_Torsten_Nov-15_Okt-16.xls Chart 5" xfId="662"/>
    <cellStyle name="Währung_trainingsprotokoll_jahr" xfId="663"/>
    <cellStyle name="Währung_trainingsprotokoll_jahr0" xfId="664"/>
    <cellStyle name="Warnender Text" xfId="665"/>
    <cellStyle name="Zelle überprüfen" xfId="666"/>
    <cellStyle name="Zelle überprüfen_März-April" xfId="667"/>
    <cellStyle name="Zelle überprüfen_TP_Torsten_Nov-15_Okt-16.xls Chart 1" xfId="668"/>
    <cellStyle name="Zelle überprüfen_TP_Torsten_Nov-15_Okt-16.xls Chart 2" xfId="669"/>
    <cellStyle name="Zelle überprüfen_TP_Torsten_Nov-15_Okt-16.xls Chart 3" xfId="670"/>
    <cellStyle name="Zelle überprüfen_TP_Torsten_Nov-15_Okt-16.xls Chart 49" xfId="671"/>
    <cellStyle name="Zelle überprüfen_TP_Torsten_Nov-15_Okt-16.xls Chart 5" xfId="672"/>
  </cellStyles>
  <dxfs count="19">
    <dxf>
      <font>
        <b/>
        <i val="0"/>
      </font>
      <fill>
        <patternFill patternType="solid">
          <fgColor indexed="22"/>
          <bgColor indexed="47"/>
        </patternFill>
      </fill>
    </dxf>
    <dxf>
      <font>
        <b/>
        <i val="0"/>
      </font>
      <fill>
        <patternFill patternType="solid">
          <fgColor indexed="31"/>
          <bgColor indexed="22"/>
        </patternFill>
      </fill>
    </dxf>
    <dxf>
      <font>
        <b/>
        <i val="0"/>
        <color indexed="8"/>
      </font>
      <fill>
        <patternFill patternType="solid">
          <fgColor indexed="22"/>
          <bgColor indexed="47"/>
        </patternFill>
      </fill>
    </dxf>
    <dxf>
      <font>
        <b/>
        <i val="0"/>
        <color indexed="8"/>
      </font>
      <fill>
        <patternFill patternType="solid">
          <fgColor indexed="31"/>
          <bgColor indexed="22"/>
        </patternFill>
      </fill>
    </dxf>
    <dxf>
      <font>
        <b/>
        <i val="0"/>
        <color indexed="63"/>
      </font>
      <fill>
        <patternFill patternType="solid">
          <fgColor indexed="22"/>
          <bgColor indexed="47"/>
        </patternFill>
      </fill>
    </dxf>
    <dxf>
      <font>
        <b/>
        <i val="0"/>
        <color indexed="8"/>
      </font>
      <fill>
        <patternFill patternType="solid">
          <fgColor indexed="31"/>
          <bgColor indexed="22"/>
        </patternFill>
      </fill>
    </dxf>
    <dxf>
      <font>
        <b/>
        <i val="0"/>
        <color indexed="63"/>
      </font>
      <fill>
        <patternFill patternType="solid">
          <fgColor indexed="22"/>
          <bgColor indexed="47"/>
        </patternFill>
      </fill>
    </dxf>
    <dxf>
      <font>
        <b/>
        <i val="0"/>
        <color indexed="8"/>
      </font>
      <fill>
        <patternFill patternType="solid">
          <fgColor indexed="31"/>
          <bgColor indexed="22"/>
        </patternFill>
      </fill>
    </dxf>
    <dxf>
      <font>
        <b/>
        <i val="0"/>
        <color indexed="63"/>
      </font>
      <fill>
        <patternFill patternType="solid">
          <fgColor indexed="22"/>
          <bgColor indexed="47"/>
        </patternFill>
      </fill>
    </dxf>
    <dxf>
      <font>
        <b/>
        <i val="0"/>
        <color indexed="8"/>
      </font>
      <fill>
        <patternFill patternType="solid">
          <fgColor indexed="31"/>
          <bgColor indexed="22"/>
        </patternFill>
      </fill>
    </dxf>
    <dxf>
      <font>
        <b/>
        <i val="0"/>
        <color indexed="63"/>
      </font>
      <fill>
        <patternFill patternType="solid">
          <fgColor indexed="22"/>
          <bgColor indexed="47"/>
        </patternFill>
      </fill>
    </dxf>
    <dxf>
      <font>
        <b/>
        <i val="0"/>
        <color indexed="8"/>
      </font>
      <fill>
        <patternFill patternType="solid">
          <fgColor indexed="31"/>
          <bgColor indexed="22"/>
        </patternFill>
      </fill>
    </dxf>
    <dxf/>
    <dxf>
      <fill>
        <patternFill patternType="solid">
          <fgColor indexed="60"/>
          <bgColor indexed="10"/>
        </patternFill>
      </fill>
    </dxf>
    <dxf>
      <fill>
        <patternFill patternType="solid">
          <fgColor indexed="21"/>
          <bgColor indexed="17"/>
        </patternFill>
      </fill>
    </dxf>
    <dxf>
      <font>
        <b/>
        <i val="0"/>
        <color indexed="63"/>
      </font>
      <fill>
        <patternFill patternType="solid">
          <fgColor indexed="22"/>
          <bgColor indexed="47"/>
        </patternFill>
      </fill>
    </dxf>
    <dxf>
      <font>
        <b/>
        <i val="0"/>
        <color indexed="8"/>
      </font>
      <fill>
        <patternFill patternType="solid">
          <fgColor indexed="31"/>
          <bgColor indexed="22"/>
        </patternFill>
      </fill>
    </dxf>
    <dxf>
      <font>
        <b/>
        <i val="0"/>
        <color indexed="63"/>
      </font>
      <fill>
        <patternFill patternType="solid">
          <fgColor indexed="22"/>
          <bgColor indexed="47"/>
        </patternFill>
      </fill>
    </dxf>
    <dxf>
      <font>
        <b/>
        <i val="0"/>
        <color indexed="8"/>
      </font>
      <fill>
        <patternFill patternType="solid">
          <fgColor indexed="31"/>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Biorhythmus für</a:t>
            </a:r>
          </a:p>
        </c:rich>
      </c:tx>
      <c:layout>
        <c:manualLayout>
          <c:xMode val="factor"/>
          <c:yMode val="factor"/>
          <c:x val="-0.104"/>
          <c:y val="0"/>
        </c:manualLayout>
      </c:layout>
      <c:spPr>
        <a:noFill/>
        <a:ln>
          <a:noFill/>
        </a:ln>
      </c:spPr>
    </c:title>
    <c:plotArea>
      <c:layout>
        <c:manualLayout>
          <c:xMode val="edge"/>
          <c:yMode val="edge"/>
          <c:x val="0.0105"/>
          <c:y val="0.106"/>
          <c:w val="0.97825"/>
          <c:h val="0.8275"/>
        </c:manualLayout>
      </c:layout>
      <c:lineChart>
        <c:grouping val="standard"/>
        <c:varyColors val="0"/>
        <c:ser>
          <c:idx val="0"/>
          <c:order val="0"/>
          <c:tx>
            <c:strRef>
              <c:f>'8 Wo-Plan'!$C$7</c:f>
              <c:strCache>
                <c:ptCount val="1"/>
                <c:pt idx="0">
                  <c:v>Belastung / Leistungsfähigkeit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 Wo-Plan'!$A$8:$A$38</c:f>
              <c:strCache>
                <c:ptCount val="31"/>
                <c:pt idx="0">
                  <c:v>44386</c:v>
                </c:pt>
                <c:pt idx="1">
                  <c:v>44387</c:v>
                </c:pt>
                <c:pt idx="2">
                  <c:v>44388</c:v>
                </c:pt>
                <c:pt idx="3">
                  <c:v>44389</c:v>
                </c:pt>
                <c:pt idx="4">
                  <c:v>44390</c:v>
                </c:pt>
                <c:pt idx="5">
                  <c:v>44391</c:v>
                </c:pt>
                <c:pt idx="6">
                  <c:v>44392</c:v>
                </c:pt>
                <c:pt idx="7">
                  <c:v>44393</c:v>
                </c:pt>
                <c:pt idx="8">
                  <c:v>44394</c:v>
                </c:pt>
                <c:pt idx="9">
                  <c:v>44395</c:v>
                </c:pt>
                <c:pt idx="10">
                  <c:v>44396</c:v>
                </c:pt>
                <c:pt idx="11">
                  <c:v>44397</c:v>
                </c:pt>
                <c:pt idx="12">
                  <c:v>44398</c:v>
                </c:pt>
                <c:pt idx="13">
                  <c:v>44399</c:v>
                </c:pt>
                <c:pt idx="14">
                  <c:v>44400</c:v>
                </c:pt>
                <c:pt idx="15">
                  <c:v>44401</c:v>
                </c:pt>
                <c:pt idx="16">
                  <c:v>44402</c:v>
                </c:pt>
                <c:pt idx="17">
                  <c:v>44403</c:v>
                </c:pt>
                <c:pt idx="18">
                  <c:v>44404</c:v>
                </c:pt>
                <c:pt idx="19">
                  <c:v>44405</c:v>
                </c:pt>
                <c:pt idx="20">
                  <c:v>44406</c:v>
                </c:pt>
                <c:pt idx="21">
                  <c:v>44407</c:v>
                </c:pt>
                <c:pt idx="22">
                  <c:v>44408</c:v>
                </c:pt>
                <c:pt idx="23">
                  <c:v>44409</c:v>
                </c:pt>
                <c:pt idx="24">
                  <c:v>44410</c:v>
                </c:pt>
                <c:pt idx="25">
                  <c:v>44411</c:v>
                </c:pt>
                <c:pt idx="26">
                  <c:v>44412</c:v>
                </c:pt>
                <c:pt idx="27">
                  <c:v>44413</c:v>
                </c:pt>
                <c:pt idx="28">
                  <c:v>44414</c:v>
                </c:pt>
                <c:pt idx="29">
                  <c:v>44415</c:v>
                </c:pt>
                <c:pt idx="30">
                  <c:v>44416</c:v>
                </c:pt>
              </c:strCache>
            </c:strRef>
          </c:cat>
          <c:val>
            <c:numRef>
              <c:f>'8 Wo-Plan'!$C$8:$C$38</c:f>
              <c:numCache>
                <c:ptCount val="31"/>
                <c:pt idx="0">
                  <c:v>0.2697967711570243</c:v>
                </c:pt>
                <c:pt idx="1">
                  <c:v>0.5195839500354336</c:v>
                </c:pt>
                <c:pt idx="2">
                  <c:v>0.730835964278124</c:v>
                </c:pt>
                <c:pt idx="3">
                  <c:v>0.8878852184023752</c:v>
                </c:pt>
                <c:pt idx="4">
                  <c:v>0.9790840876823228</c:v>
                </c:pt>
                <c:pt idx="5">
                  <c:v>0.9976687691905392</c:v>
                </c:pt>
                <c:pt idx="6">
                  <c:v>0.9422609221188205</c:v>
                </c:pt>
                <c:pt idx="7">
                  <c:v>0.8169698930104421</c:v>
                </c:pt>
                <c:pt idx="8">
                  <c:v>0.6310879443260526</c:v>
                </c:pt>
                <c:pt idx="9">
                  <c:v>0.3984010898462418</c:v>
                </c:pt>
                <c:pt idx="10">
                  <c:v>0.13616664909624665</c:v>
                </c:pt>
                <c:pt idx="11">
                  <c:v>-0.1361666490962464</c:v>
                </c:pt>
                <c:pt idx="12">
                  <c:v>-0.3984010898462412</c:v>
                </c:pt>
                <c:pt idx="13">
                  <c:v>-0.6310879443260528</c:v>
                </c:pt>
                <c:pt idx="14">
                  <c:v>-0.816969893010442</c:v>
                </c:pt>
                <c:pt idx="15">
                  <c:v>-0.9422609221188204</c:v>
                </c:pt>
                <c:pt idx="16">
                  <c:v>-0.9976687691905392</c:v>
                </c:pt>
                <c:pt idx="17">
                  <c:v>-0.9790840876823228</c:v>
                </c:pt>
                <c:pt idx="18">
                  <c:v>-0.8878852184023751</c:v>
                </c:pt>
                <c:pt idx="19">
                  <c:v>-0.7308359642781246</c:v>
                </c:pt>
                <c:pt idx="20">
                  <c:v>-0.5195839500354343</c:v>
                </c:pt>
                <c:pt idx="21">
                  <c:v>-0.2697967711570244</c:v>
                </c:pt>
                <c:pt idx="22">
                  <c:v>-2.45029690981724E-16</c:v>
                </c:pt>
                <c:pt idx="23">
                  <c:v>0.26979677115702394</c:v>
                </c:pt>
                <c:pt idx="24">
                  <c:v>0.5195839500354331</c:v>
                </c:pt>
                <c:pt idx="25">
                  <c:v>0.7308359642781237</c:v>
                </c:pt>
                <c:pt idx="26">
                  <c:v>0.8878852184023753</c:v>
                </c:pt>
                <c:pt idx="27">
                  <c:v>0.9790840876823229</c:v>
                </c:pt>
                <c:pt idx="28">
                  <c:v>0.9976687691905393</c:v>
                </c:pt>
                <c:pt idx="29">
                  <c:v>0.9422609221188206</c:v>
                </c:pt>
                <c:pt idx="30">
                  <c:v>0.8169698930104428</c:v>
                </c:pt>
              </c:numCache>
            </c:numRef>
          </c:val>
          <c:smooth val="0"/>
        </c:ser>
        <c:ser>
          <c:idx val="1"/>
          <c:order val="1"/>
          <c:tx>
            <c:strRef>
              <c:f>'8 Wo-Plan'!$D$7</c:f>
              <c:strCache>
                <c:ptCount val="1"/>
                <c:pt idx="0">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 Wo-Plan'!$A$8:$A$38</c:f>
              <c:strCache>
                <c:ptCount val="31"/>
                <c:pt idx="0">
                  <c:v>44386</c:v>
                </c:pt>
                <c:pt idx="1">
                  <c:v>44387</c:v>
                </c:pt>
                <c:pt idx="2">
                  <c:v>44388</c:v>
                </c:pt>
                <c:pt idx="3">
                  <c:v>44389</c:v>
                </c:pt>
                <c:pt idx="4">
                  <c:v>44390</c:v>
                </c:pt>
                <c:pt idx="5">
                  <c:v>44391</c:v>
                </c:pt>
                <c:pt idx="6">
                  <c:v>44392</c:v>
                </c:pt>
                <c:pt idx="7">
                  <c:v>44393</c:v>
                </c:pt>
                <c:pt idx="8">
                  <c:v>44394</c:v>
                </c:pt>
                <c:pt idx="9">
                  <c:v>44395</c:v>
                </c:pt>
                <c:pt idx="10">
                  <c:v>44396</c:v>
                </c:pt>
                <c:pt idx="11">
                  <c:v>44397</c:v>
                </c:pt>
                <c:pt idx="12">
                  <c:v>44398</c:v>
                </c:pt>
                <c:pt idx="13">
                  <c:v>44399</c:v>
                </c:pt>
                <c:pt idx="14">
                  <c:v>44400</c:v>
                </c:pt>
                <c:pt idx="15">
                  <c:v>44401</c:v>
                </c:pt>
                <c:pt idx="16">
                  <c:v>44402</c:v>
                </c:pt>
                <c:pt idx="17">
                  <c:v>44403</c:v>
                </c:pt>
                <c:pt idx="18">
                  <c:v>44404</c:v>
                </c:pt>
                <c:pt idx="19">
                  <c:v>44405</c:v>
                </c:pt>
                <c:pt idx="20">
                  <c:v>44406</c:v>
                </c:pt>
                <c:pt idx="21">
                  <c:v>44407</c:v>
                </c:pt>
                <c:pt idx="22">
                  <c:v>44408</c:v>
                </c:pt>
                <c:pt idx="23">
                  <c:v>44409</c:v>
                </c:pt>
                <c:pt idx="24">
                  <c:v>44410</c:v>
                </c:pt>
                <c:pt idx="25">
                  <c:v>44411</c:v>
                </c:pt>
                <c:pt idx="26">
                  <c:v>44412</c:v>
                </c:pt>
                <c:pt idx="27">
                  <c:v>44413</c:v>
                </c:pt>
                <c:pt idx="28">
                  <c:v>44414</c:v>
                </c:pt>
                <c:pt idx="29">
                  <c:v>44415</c:v>
                </c:pt>
                <c:pt idx="30">
                  <c:v>44416</c:v>
                </c:pt>
              </c:strCache>
            </c:strRef>
          </c:cat>
          <c:val>
            <c:numRef>
              <c:f>'8 Wo-Plan'!$D$8:$D$38</c:f>
              <c:numCache>
                <c:ptCount val="31"/>
                <c:pt idx="20">
                  <c:v>0</c:v>
                </c:pt>
                <c:pt idx="26">
                  <c:v>0</c:v>
                </c:pt>
                <c:pt idx="29">
                  <c:v>0</c:v>
                </c:pt>
              </c:numCache>
            </c:numRef>
          </c:val>
          <c:smooth val="0"/>
        </c:ser>
        <c:ser>
          <c:idx val="2"/>
          <c:order val="2"/>
          <c:tx>
            <c:strRef>
              <c:f>'8 Wo-Plan'!$E$7</c:f>
              <c:strCache>
                <c:ptCount val="1"/>
                <c:pt idx="0">
                  <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 Wo-Plan'!$A$8:$A$38</c:f>
              <c:strCache>
                <c:ptCount val="31"/>
                <c:pt idx="0">
                  <c:v>44386</c:v>
                </c:pt>
                <c:pt idx="1">
                  <c:v>44387</c:v>
                </c:pt>
                <c:pt idx="2">
                  <c:v>44388</c:v>
                </c:pt>
                <c:pt idx="3">
                  <c:v>44389</c:v>
                </c:pt>
                <c:pt idx="4">
                  <c:v>44390</c:v>
                </c:pt>
                <c:pt idx="5">
                  <c:v>44391</c:v>
                </c:pt>
                <c:pt idx="6">
                  <c:v>44392</c:v>
                </c:pt>
                <c:pt idx="7">
                  <c:v>44393</c:v>
                </c:pt>
                <c:pt idx="8">
                  <c:v>44394</c:v>
                </c:pt>
                <c:pt idx="9">
                  <c:v>44395</c:v>
                </c:pt>
                <c:pt idx="10">
                  <c:v>44396</c:v>
                </c:pt>
                <c:pt idx="11">
                  <c:v>44397</c:v>
                </c:pt>
                <c:pt idx="12">
                  <c:v>44398</c:v>
                </c:pt>
                <c:pt idx="13">
                  <c:v>44399</c:v>
                </c:pt>
                <c:pt idx="14">
                  <c:v>44400</c:v>
                </c:pt>
                <c:pt idx="15">
                  <c:v>44401</c:v>
                </c:pt>
                <c:pt idx="16">
                  <c:v>44402</c:v>
                </c:pt>
                <c:pt idx="17">
                  <c:v>44403</c:v>
                </c:pt>
                <c:pt idx="18">
                  <c:v>44404</c:v>
                </c:pt>
                <c:pt idx="19">
                  <c:v>44405</c:v>
                </c:pt>
                <c:pt idx="20">
                  <c:v>44406</c:v>
                </c:pt>
                <c:pt idx="21">
                  <c:v>44407</c:v>
                </c:pt>
                <c:pt idx="22">
                  <c:v>44408</c:v>
                </c:pt>
                <c:pt idx="23">
                  <c:v>44409</c:v>
                </c:pt>
                <c:pt idx="24">
                  <c:v>44410</c:v>
                </c:pt>
                <c:pt idx="25">
                  <c:v>44411</c:v>
                </c:pt>
                <c:pt idx="26">
                  <c:v>44412</c:v>
                </c:pt>
                <c:pt idx="27">
                  <c:v>44413</c:v>
                </c:pt>
                <c:pt idx="28">
                  <c:v>44414</c:v>
                </c:pt>
                <c:pt idx="29">
                  <c:v>44415</c:v>
                </c:pt>
                <c:pt idx="30">
                  <c:v>44416</c:v>
                </c:pt>
              </c:strCache>
            </c:strRef>
          </c:cat>
          <c:val>
            <c:numRef>
              <c:f>'8 Wo-Plan'!$E$8:$E$38</c:f>
              <c:numCache>
                <c:ptCount val="31"/>
                <c:pt idx="24">
                  <c:v>0</c:v>
                </c:pt>
              </c:numCache>
            </c:numRef>
          </c:val>
          <c:smooth val="0"/>
        </c:ser>
        <c:ser>
          <c:idx val="3"/>
          <c:order val="3"/>
          <c:tx>
            <c:strRef>
              <c:f>'8 Wo-Plan'!$F$7</c:f>
              <c:strCache>
                <c:ptCount val="1"/>
                <c:pt idx="0">
                  <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 Wo-Plan'!$A$8:$A$38</c:f>
              <c:strCache>
                <c:ptCount val="31"/>
                <c:pt idx="0">
                  <c:v>44386</c:v>
                </c:pt>
                <c:pt idx="1">
                  <c:v>44387</c:v>
                </c:pt>
                <c:pt idx="2">
                  <c:v>44388</c:v>
                </c:pt>
                <c:pt idx="3">
                  <c:v>44389</c:v>
                </c:pt>
                <c:pt idx="4">
                  <c:v>44390</c:v>
                </c:pt>
                <c:pt idx="5">
                  <c:v>44391</c:v>
                </c:pt>
                <c:pt idx="6">
                  <c:v>44392</c:v>
                </c:pt>
                <c:pt idx="7">
                  <c:v>44393</c:v>
                </c:pt>
                <c:pt idx="8">
                  <c:v>44394</c:v>
                </c:pt>
                <c:pt idx="9">
                  <c:v>44395</c:v>
                </c:pt>
                <c:pt idx="10">
                  <c:v>44396</c:v>
                </c:pt>
                <c:pt idx="11">
                  <c:v>44397</c:v>
                </c:pt>
                <c:pt idx="12">
                  <c:v>44398</c:v>
                </c:pt>
                <c:pt idx="13">
                  <c:v>44399</c:v>
                </c:pt>
                <c:pt idx="14">
                  <c:v>44400</c:v>
                </c:pt>
                <c:pt idx="15">
                  <c:v>44401</c:v>
                </c:pt>
                <c:pt idx="16">
                  <c:v>44402</c:v>
                </c:pt>
                <c:pt idx="17">
                  <c:v>44403</c:v>
                </c:pt>
                <c:pt idx="18">
                  <c:v>44404</c:v>
                </c:pt>
                <c:pt idx="19">
                  <c:v>44405</c:v>
                </c:pt>
                <c:pt idx="20">
                  <c:v>44406</c:v>
                </c:pt>
                <c:pt idx="21">
                  <c:v>44407</c:v>
                </c:pt>
                <c:pt idx="22">
                  <c:v>44408</c:v>
                </c:pt>
                <c:pt idx="23">
                  <c:v>44409</c:v>
                </c:pt>
                <c:pt idx="24">
                  <c:v>44410</c:v>
                </c:pt>
                <c:pt idx="25">
                  <c:v>44411</c:v>
                </c:pt>
                <c:pt idx="26">
                  <c:v>44412</c:v>
                </c:pt>
                <c:pt idx="27">
                  <c:v>44413</c:v>
                </c:pt>
                <c:pt idx="28">
                  <c:v>44414</c:v>
                </c:pt>
                <c:pt idx="29">
                  <c:v>44415</c:v>
                </c:pt>
                <c:pt idx="30">
                  <c:v>44416</c:v>
                </c:pt>
              </c:strCache>
            </c:strRef>
          </c:cat>
          <c:val>
            <c:numRef>
              <c:f>'8 Wo-Plan'!$F$8:$F$38</c:f>
              <c:numCache>
                <c:ptCount val="31"/>
                <c:pt idx="23">
                  <c:v>0</c:v>
                </c:pt>
              </c:numCache>
            </c:numRef>
          </c:val>
          <c:smooth val="0"/>
        </c:ser>
        <c:axId val="40012813"/>
        <c:axId val="24570998"/>
      </c:lineChart>
      <c:dateAx>
        <c:axId val="40012813"/>
        <c:scaling>
          <c:orientation val="minMax"/>
        </c:scaling>
        <c:axPos val="b"/>
        <c:delete val="0"/>
        <c:numFmt formatCode="d-mmm" sourceLinked="0"/>
        <c:majorTickMark val="out"/>
        <c:minorTickMark val="none"/>
        <c:tickLblPos val="nextTo"/>
        <c:txPr>
          <a:bodyPr vert="horz" rot="-5400000"/>
          <a:lstStyle/>
          <a:p>
            <a:pPr>
              <a:defRPr lang="en-US" cap="none" sz="1000" b="0" i="0" u="none" baseline="0">
                <a:latin typeface="Arial"/>
                <a:ea typeface="Arial"/>
                <a:cs typeface="Arial"/>
              </a:defRPr>
            </a:pPr>
          </a:p>
        </c:txPr>
        <c:crossAx val="24570998"/>
        <c:crosses val="autoZero"/>
        <c:auto val="0"/>
        <c:noMultiLvlLbl val="0"/>
      </c:dateAx>
      <c:valAx>
        <c:axId val="24570998"/>
        <c:scaling>
          <c:orientation val="minMax"/>
        </c:scaling>
        <c:axPos val="l"/>
        <c:majorGridlines/>
        <c:delete val="0"/>
        <c:numFmt formatCode="General" sourceLinked="1"/>
        <c:majorTickMark val="out"/>
        <c:minorTickMark val="none"/>
        <c:tickLblPos val="nextTo"/>
        <c:crossAx val="40012813"/>
        <c:crossesAt val="1"/>
        <c:crossBetween val="midCat"/>
        <c:dispUnits/>
      </c:valAx>
      <c:spPr>
        <a:gradFill rotWithShape="1">
          <a:gsLst>
            <a:gs pos="0">
              <a:srgbClr val="03D4A8"/>
            </a:gs>
            <a:gs pos="25000">
              <a:srgbClr val="21D6E0"/>
            </a:gs>
            <a:gs pos="75000">
              <a:srgbClr val="0087E6"/>
            </a:gs>
            <a:gs pos="100000">
              <a:srgbClr val="005CBF"/>
            </a:gs>
          </a:gsLst>
          <a:lin ang="5400000" scaled="1"/>
        </a:gradFill>
        <a:ln w="12700">
          <a:solidFill>
            <a:srgbClr val="808080"/>
          </a:solidFill>
        </a:ln>
      </c:spPr>
    </c:plotArea>
    <c:legend>
      <c:legendPos val="b"/>
      <c:layout>
        <c:manualLayout>
          <c:xMode val="edge"/>
          <c:yMode val="edge"/>
          <c:x val="0.3855"/>
          <c:y val="0.95275"/>
          <c:w val="0.149"/>
          <c:h val="0.033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75"/>
          <c:y val="0.14425"/>
          <c:w val="0.9465"/>
          <c:h val="0.784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Kader!$AD$17:$AJ$17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Kader!$AD$26:$AJ$26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Kader!$AD$35:$AJ$35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Kader!$AD$36:$AJ$36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Kader!$AD$37:$AJ$37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Kader!$AD$38:$AJ$38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Kader!$AD$39:$AJ$39</c:f>
              <c:numCache>
                <c:ptCount val="7"/>
                <c:pt idx="0">
                  <c:v>0</c:v>
                </c:pt>
                <c:pt idx="1">
                  <c:v>0</c:v>
                </c:pt>
                <c:pt idx="2">
                  <c:v>0</c:v>
                </c:pt>
                <c:pt idx="3">
                  <c:v>0</c:v>
                </c:pt>
                <c:pt idx="4">
                  <c:v>0</c:v>
                </c:pt>
                <c:pt idx="5">
                  <c:v>0</c:v>
                </c:pt>
                <c:pt idx="6">
                  <c:v>0</c:v>
                </c:pt>
              </c:numCache>
            </c:numRef>
          </c:val>
        </c:ser>
        <c:overlap val="100"/>
        <c:gapWidth val="100"/>
        <c:axId val="30937443"/>
        <c:axId val="10001532"/>
      </c:barChart>
      <c:catAx>
        <c:axId val="309374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10001532"/>
        <c:crossesAt val="0"/>
        <c:auto val="1"/>
        <c:lblOffset val="100"/>
        <c:noMultiLvlLbl val="0"/>
      </c:catAx>
      <c:valAx>
        <c:axId val="10001532"/>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0937443"/>
        <c:crossesAt val="1"/>
        <c:crossBetween val="between"/>
        <c:dispUnits/>
      </c:valAx>
      <c:spPr>
        <a:noFill/>
        <a:ln>
          <a:noFill/>
        </a:ln>
      </c:spPr>
    </c:plotArea>
    <c:legend>
      <c:legendPos val="r"/>
      <c:layout>
        <c:manualLayout>
          <c:xMode val="edge"/>
          <c:yMode val="edge"/>
          <c:x val="0.11425"/>
          <c:y val="0.963"/>
          <c:w val="0.83925"/>
          <c:h val="0.037"/>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75"/>
          <c:y val="0.141"/>
          <c:w val="0.94675"/>
          <c:h val="0.7867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Kader!$AK$17:$AQ$17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Kader!$AK$26:$AQ$26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Kader!$AK$35:$AQ$35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Kader!$AK$36:$AQ$36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Kader!$AK$37:$AQ$37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Kader!$AK$38:$AQ$38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Kader!$AK$39:$AQ$39</c:f>
              <c:numCache>
                <c:ptCount val="7"/>
                <c:pt idx="0">
                  <c:v>0</c:v>
                </c:pt>
                <c:pt idx="1">
                  <c:v>0</c:v>
                </c:pt>
                <c:pt idx="2">
                  <c:v>0</c:v>
                </c:pt>
                <c:pt idx="3">
                  <c:v>0</c:v>
                </c:pt>
                <c:pt idx="4">
                  <c:v>0</c:v>
                </c:pt>
                <c:pt idx="5">
                  <c:v>0</c:v>
                </c:pt>
                <c:pt idx="6">
                  <c:v>0</c:v>
                </c:pt>
              </c:numCache>
            </c:numRef>
          </c:val>
        </c:ser>
        <c:overlap val="100"/>
        <c:gapWidth val="100"/>
        <c:axId val="22904925"/>
        <c:axId val="4817734"/>
      </c:barChart>
      <c:catAx>
        <c:axId val="2290492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4817734"/>
        <c:crossesAt val="0"/>
        <c:auto val="1"/>
        <c:lblOffset val="100"/>
        <c:noMultiLvlLbl val="0"/>
      </c:catAx>
      <c:valAx>
        <c:axId val="4817734"/>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22904925"/>
        <c:crossesAt val="1"/>
        <c:crossBetween val="between"/>
        <c:dispUnits/>
      </c:valAx>
      <c:spPr>
        <a:noFill/>
        <a:ln>
          <a:noFill/>
        </a:ln>
      </c:spPr>
    </c:plotArea>
    <c:legend>
      <c:legendPos val="r"/>
      <c:layout>
        <c:manualLayout>
          <c:xMode val="edge"/>
          <c:yMode val="edge"/>
          <c:x val="0.114"/>
          <c:y val="0.96325"/>
          <c:w val="0.83625"/>
          <c:h val="0.0367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75"/>
          <c:y val="0.141"/>
          <c:w val="0.9465"/>
          <c:h val="0.7867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Kader!$AR$17:$AX$17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Kader!$AR$26:$AX$26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Kader!$AR$35:$AX$35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Kader!$AR$36:$AX$36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Kader!$AR$37:$AX$37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Kader!$AR$38:$AX$38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Kader!$AR$39:$AX$39</c:f>
              <c:numCache>
                <c:ptCount val="7"/>
                <c:pt idx="0">
                  <c:v>0</c:v>
                </c:pt>
                <c:pt idx="1">
                  <c:v>0</c:v>
                </c:pt>
                <c:pt idx="2">
                  <c:v>0</c:v>
                </c:pt>
                <c:pt idx="3">
                  <c:v>0</c:v>
                </c:pt>
                <c:pt idx="4">
                  <c:v>0</c:v>
                </c:pt>
                <c:pt idx="5">
                  <c:v>0</c:v>
                </c:pt>
                <c:pt idx="6">
                  <c:v>0</c:v>
                </c:pt>
              </c:numCache>
            </c:numRef>
          </c:val>
        </c:ser>
        <c:overlap val="100"/>
        <c:gapWidth val="100"/>
        <c:axId val="43359607"/>
        <c:axId val="54692144"/>
      </c:barChart>
      <c:catAx>
        <c:axId val="4335960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54692144"/>
        <c:crossesAt val="0"/>
        <c:auto val="1"/>
        <c:lblOffset val="100"/>
        <c:noMultiLvlLbl val="0"/>
      </c:catAx>
      <c:valAx>
        <c:axId val="54692144"/>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43359607"/>
        <c:crossesAt val="1"/>
        <c:crossBetween val="between"/>
        <c:dispUnits/>
      </c:valAx>
      <c:spPr>
        <a:noFill/>
        <a:ln>
          <a:noFill/>
        </a:ln>
      </c:spPr>
    </c:plotArea>
    <c:legend>
      <c:legendPos val="r"/>
      <c:layout>
        <c:manualLayout>
          <c:xMode val="edge"/>
          <c:yMode val="edge"/>
          <c:x val="0.114"/>
          <c:y val="0.96325"/>
          <c:w val="0.83625"/>
          <c:h val="0.0367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75"/>
          <c:y val="0.13975"/>
          <c:w val="0.9465"/>
          <c:h val="0.788"/>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Kader!$AY$17:$BE$17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Kader!$AY$26:$BE$26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Kader!$AY$35:$BE$35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Kader!$AY$36:$BE$36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Kader!$AY$37:$BE$37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Kader!$AY$38:$BE$38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Kader!$AY$39:$BE$39</c:f>
              <c:numCache>
                <c:ptCount val="7"/>
                <c:pt idx="0">
                  <c:v>0</c:v>
                </c:pt>
                <c:pt idx="1">
                  <c:v>0</c:v>
                </c:pt>
                <c:pt idx="2">
                  <c:v>0</c:v>
                </c:pt>
                <c:pt idx="3">
                  <c:v>0</c:v>
                </c:pt>
                <c:pt idx="4">
                  <c:v>0</c:v>
                </c:pt>
                <c:pt idx="5">
                  <c:v>0</c:v>
                </c:pt>
                <c:pt idx="6">
                  <c:v>0</c:v>
                </c:pt>
              </c:numCache>
            </c:numRef>
          </c:val>
        </c:ser>
        <c:overlap val="100"/>
        <c:gapWidth val="100"/>
        <c:axId val="22467249"/>
        <c:axId val="878650"/>
      </c:barChart>
      <c:catAx>
        <c:axId val="2246724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878650"/>
        <c:crossesAt val="0"/>
        <c:auto val="1"/>
        <c:lblOffset val="100"/>
        <c:noMultiLvlLbl val="0"/>
      </c:catAx>
      <c:valAx>
        <c:axId val="878650"/>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22467249"/>
        <c:crossesAt val="1"/>
        <c:crossBetween val="between"/>
        <c:dispUnits/>
      </c:valAx>
      <c:spPr>
        <a:noFill/>
        <a:ln>
          <a:noFill/>
        </a:ln>
      </c:spPr>
    </c:plotArea>
    <c:legend>
      <c:legendPos val="r"/>
      <c:layout>
        <c:manualLayout>
          <c:xMode val="edge"/>
          <c:yMode val="edge"/>
          <c:x val="0.114"/>
          <c:y val="0.96325"/>
          <c:w val="0.83625"/>
          <c:h val="0.0367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5"/>
          <c:y val="0.1395"/>
          <c:w val="0.94675"/>
          <c:h val="0.789"/>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Kader!$BF$17:$BL$17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Kader!$BF$26:$BL$26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Kader!$BF$35:$BL$35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Kader!$BF$36:$BL$36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Kader!$BF$37:$BL$37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Kader!$BF$38:$BL$38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Kader!$BF$39:$BL$39</c:f>
              <c:numCache>
                <c:ptCount val="7"/>
                <c:pt idx="0">
                  <c:v>0</c:v>
                </c:pt>
                <c:pt idx="1">
                  <c:v>0</c:v>
                </c:pt>
                <c:pt idx="2">
                  <c:v>0</c:v>
                </c:pt>
                <c:pt idx="3">
                  <c:v>0</c:v>
                </c:pt>
                <c:pt idx="4">
                  <c:v>0</c:v>
                </c:pt>
                <c:pt idx="5">
                  <c:v>0</c:v>
                </c:pt>
                <c:pt idx="6">
                  <c:v>0</c:v>
                </c:pt>
              </c:numCache>
            </c:numRef>
          </c:val>
        </c:ser>
        <c:overlap val="100"/>
        <c:gapWidth val="100"/>
        <c:axId val="7907851"/>
        <c:axId val="4061796"/>
      </c:barChart>
      <c:catAx>
        <c:axId val="790785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4061796"/>
        <c:crossesAt val="0"/>
        <c:auto val="1"/>
        <c:lblOffset val="100"/>
        <c:noMultiLvlLbl val="0"/>
      </c:catAx>
      <c:valAx>
        <c:axId val="4061796"/>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7907851"/>
        <c:crossesAt val="1"/>
        <c:crossBetween val="between"/>
        <c:dispUnits/>
      </c:valAx>
      <c:spPr>
        <a:noFill/>
        <a:ln>
          <a:noFill/>
        </a:ln>
      </c:spPr>
    </c:plotArea>
    <c:legend>
      <c:legendPos val="r"/>
      <c:layout>
        <c:manualLayout>
          <c:xMode val="edge"/>
          <c:yMode val="edge"/>
          <c:x val="0.11"/>
          <c:y val="0.96325"/>
          <c:w val="0.83325"/>
          <c:h val="0.0367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5"/>
          <c:y val="0.1405"/>
          <c:w val="0.947"/>
          <c:h val="0.789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Kader!$BM$17:$BS$17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Kader!$BM$26:$BS$26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Kader!$BM$35:$BS$35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Kader!$BM$36:$BS$36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Kader!$BM$37:$BS$37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Kader!$BM$38:$BS$38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Kader!$BM$39:$BS$39</c:f>
              <c:numCache>
                <c:ptCount val="7"/>
                <c:pt idx="0">
                  <c:v>0</c:v>
                </c:pt>
                <c:pt idx="1">
                  <c:v>0</c:v>
                </c:pt>
                <c:pt idx="2">
                  <c:v>0</c:v>
                </c:pt>
                <c:pt idx="3">
                  <c:v>0</c:v>
                </c:pt>
                <c:pt idx="4">
                  <c:v>0</c:v>
                </c:pt>
                <c:pt idx="5">
                  <c:v>0</c:v>
                </c:pt>
                <c:pt idx="6">
                  <c:v>0</c:v>
                </c:pt>
              </c:numCache>
            </c:numRef>
          </c:val>
        </c:ser>
        <c:overlap val="100"/>
        <c:gapWidth val="100"/>
        <c:axId val="36556165"/>
        <c:axId val="60570030"/>
      </c:barChart>
      <c:catAx>
        <c:axId val="365561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0570030"/>
        <c:crossesAt val="0"/>
        <c:auto val="1"/>
        <c:lblOffset val="100"/>
        <c:noMultiLvlLbl val="0"/>
      </c:catAx>
      <c:valAx>
        <c:axId val="60570030"/>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6556165"/>
        <c:crossesAt val="1"/>
        <c:crossBetween val="between"/>
        <c:dispUnits/>
      </c:valAx>
      <c:spPr>
        <a:noFill/>
        <a:ln>
          <a:noFill/>
        </a:ln>
      </c:spPr>
    </c:plotArea>
    <c:legend>
      <c:legendPos val="r"/>
      <c:layout>
        <c:manualLayout>
          <c:xMode val="edge"/>
          <c:yMode val="edge"/>
          <c:x val="0.1165"/>
          <c:y val="0.9635"/>
          <c:w val="0.8305"/>
          <c:h val="0.036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5"/>
          <c:y val="0.1405"/>
          <c:w val="0.94725"/>
          <c:h val="0.789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Kader!$BT$17:$BZ$17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Kader!$BT$26:$BZ$26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Kader!$BT$35:$BZ$35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Kader!$BT$36:$BZ$36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Kader!$BT$37:$BZ$37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Kader!$BT$38:$BZ$38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Kader!$BT$39:$BZ$39</c:f>
              <c:numCache>
                <c:ptCount val="7"/>
                <c:pt idx="0">
                  <c:v>0</c:v>
                </c:pt>
                <c:pt idx="1">
                  <c:v>0</c:v>
                </c:pt>
                <c:pt idx="2">
                  <c:v>0</c:v>
                </c:pt>
                <c:pt idx="3">
                  <c:v>0</c:v>
                </c:pt>
                <c:pt idx="4">
                  <c:v>0</c:v>
                </c:pt>
                <c:pt idx="5">
                  <c:v>0</c:v>
                </c:pt>
                <c:pt idx="6">
                  <c:v>0</c:v>
                </c:pt>
              </c:numCache>
            </c:numRef>
          </c:val>
        </c:ser>
        <c:overlap val="100"/>
        <c:gapWidth val="100"/>
        <c:axId val="8259359"/>
        <c:axId val="7225368"/>
      </c:barChart>
      <c:catAx>
        <c:axId val="825935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7225368"/>
        <c:crossesAt val="0"/>
        <c:auto val="1"/>
        <c:lblOffset val="100"/>
        <c:noMultiLvlLbl val="0"/>
      </c:catAx>
      <c:valAx>
        <c:axId val="7225368"/>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8259359"/>
        <c:crossesAt val="1"/>
        <c:crossBetween val="between"/>
        <c:dispUnits/>
      </c:valAx>
      <c:spPr>
        <a:noFill/>
        <a:ln>
          <a:noFill/>
        </a:ln>
      </c:spPr>
    </c:plotArea>
    <c:legend>
      <c:legendPos val="r"/>
      <c:layout>
        <c:manualLayout>
          <c:xMode val="edge"/>
          <c:yMode val="edge"/>
          <c:x val="0.11975"/>
          <c:y val="0.9635"/>
          <c:w val="0.8275"/>
          <c:h val="0.036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25"/>
          <c:y val="0.139"/>
          <c:w val="0.9475"/>
          <c:h val="0.7897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Kader!$CA$17:$CG$17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Kader!$CA$26:$CG$26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Kader!$CA$35:$CG$35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Kader!$CA$36:$CG$36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Kader!$CA$37:$CG$37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Kader!$CA$38:$CG$38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Kader!$CA$39:$CG$39</c:f>
              <c:numCache>
                <c:ptCount val="7"/>
                <c:pt idx="0">
                  <c:v>0</c:v>
                </c:pt>
                <c:pt idx="1">
                  <c:v>0</c:v>
                </c:pt>
                <c:pt idx="2">
                  <c:v>0</c:v>
                </c:pt>
                <c:pt idx="3">
                  <c:v>0</c:v>
                </c:pt>
                <c:pt idx="4">
                  <c:v>0</c:v>
                </c:pt>
                <c:pt idx="5">
                  <c:v>0</c:v>
                </c:pt>
                <c:pt idx="6">
                  <c:v>0</c:v>
                </c:pt>
              </c:numCache>
            </c:numRef>
          </c:val>
        </c:ser>
        <c:overlap val="100"/>
        <c:gapWidth val="100"/>
        <c:axId val="65028313"/>
        <c:axId val="48383906"/>
      </c:barChart>
      <c:catAx>
        <c:axId val="6502831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48383906"/>
        <c:crossesAt val="0"/>
        <c:auto val="1"/>
        <c:lblOffset val="100"/>
        <c:noMultiLvlLbl val="0"/>
      </c:catAx>
      <c:valAx>
        <c:axId val="48383906"/>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5028313"/>
        <c:crossesAt val="1"/>
        <c:crossBetween val="between"/>
        <c:dispUnits/>
      </c:valAx>
      <c:spPr>
        <a:noFill/>
        <a:ln>
          <a:noFill/>
        </a:ln>
      </c:spPr>
    </c:plotArea>
    <c:legend>
      <c:legendPos val="r"/>
      <c:layout>
        <c:manualLayout>
          <c:xMode val="edge"/>
          <c:yMode val="edge"/>
          <c:x val="0.11925"/>
          <c:y val="0.9635"/>
          <c:w val="0.8245"/>
          <c:h val="0.036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25"/>
          <c:y val="0.1385"/>
          <c:w val="0.9475"/>
          <c:h val="0.790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Kader!$CH$17:$CN$17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Kader!$CH$26:$CN$26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Kader!$CH$35:$CN$35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Kader!$CH$36:$CN$36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Kader!$CH$37:$CN$37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Kader!$CH$38:$CN$38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Kader!$CH$39:$CN$39</c:f>
              <c:numCache>
                <c:ptCount val="7"/>
                <c:pt idx="0">
                  <c:v>0</c:v>
                </c:pt>
                <c:pt idx="1">
                  <c:v>0</c:v>
                </c:pt>
                <c:pt idx="2">
                  <c:v>0</c:v>
                </c:pt>
                <c:pt idx="3">
                  <c:v>0</c:v>
                </c:pt>
                <c:pt idx="4">
                  <c:v>0</c:v>
                </c:pt>
                <c:pt idx="5">
                  <c:v>0</c:v>
                </c:pt>
                <c:pt idx="6">
                  <c:v>0</c:v>
                </c:pt>
              </c:numCache>
            </c:numRef>
          </c:val>
        </c:ser>
        <c:overlap val="100"/>
        <c:gapWidth val="100"/>
        <c:axId val="32801971"/>
        <c:axId val="26782284"/>
      </c:barChart>
      <c:catAx>
        <c:axId val="3280197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26782284"/>
        <c:crossesAt val="0"/>
        <c:auto val="1"/>
        <c:lblOffset val="100"/>
        <c:noMultiLvlLbl val="0"/>
      </c:catAx>
      <c:valAx>
        <c:axId val="26782284"/>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2801971"/>
        <c:crossesAt val="1"/>
        <c:crossBetween val="between"/>
        <c:dispUnits/>
      </c:valAx>
      <c:spPr>
        <a:noFill/>
        <a:ln>
          <a:noFill/>
        </a:ln>
      </c:spPr>
    </c:plotArea>
    <c:legend>
      <c:legendPos val="r"/>
      <c:layout>
        <c:manualLayout>
          <c:xMode val="edge"/>
          <c:yMode val="edge"/>
          <c:x val="0.11225"/>
          <c:y val="0.96375"/>
          <c:w val="0.8245"/>
          <c:h val="0.0362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25"/>
          <c:y val="0.1385"/>
          <c:w val="0.94725"/>
          <c:h val="0.790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Kader!$CO$17:$CU$17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Kader!$CO$26:$CU$26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Kader!$CO$35:$CU$35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Kader!$CO$36:$CU$36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Kader!$CO$37:$CU$37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Kader!$CO$38:$CU$38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Kader!$CO$39:$CU$39</c:f>
              <c:numCache>
                <c:ptCount val="7"/>
                <c:pt idx="0">
                  <c:v>0</c:v>
                </c:pt>
                <c:pt idx="1">
                  <c:v>0</c:v>
                </c:pt>
                <c:pt idx="2">
                  <c:v>0</c:v>
                </c:pt>
                <c:pt idx="3">
                  <c:v>0</c:v>
                </c:pt>
                <c:pt idx="4">
                  <c:v>0</c:v>
                </c:pt>
                <c:pt idx="5">
                  <c:v>0</c:v>
                </c:pt>
                <c:pt idx="6">
                  <c:v>0</c:v>
                </c:pt>
              </c:numCache>
            </c:numRef>
          </c:val>
        </c:ser>
        <c:overlap val="100"/>
        <c:gapWidth val="100"/>
        <c:axId val="39713965"/>
        <c:axId val="21881366"/>
      </c:barChart>
      <c:catAx>
        <c:axId val="397139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21881366"/>
        <c:crossesAt val="0"/>
        <c:auto val="1"/>
        <c:lblOffset val="100"/>
        <c:noMultiLvlLbl val="0"/>
      </c:catAx>
      <c:valAx>
        <c:axId val="21881366"/>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9713965"/>
        <c:crossesAt val="1"/>
        <c:crossBetween val="between"/>
        <c:dispUnits/>
      </c:valAx>
      <c:spPr>
        <a:noFill/>
        <a:ln>
          <a:noFill/>
        </a:ln>
      </c:spPr>
    </c:plotArea>
    <c:legend>
      <c:legendPos val="r"/>
      <c:layout>
        <c:manualLayout>
          <c:xMode val="edge"/>
          <c:yMode val="edge"/>
          <c:x val="0.11225"/>
          <c:y val="0.96375"/>
          <c:w val="0.8245"/>
          <c:h val="0.0362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Umfänge </a:t>
            </a:r>
            <a:r>
              <a:rPr lang="en-US" cap="none" sz="800" b="0" i="0" u="none" baseline="0">
                <a:solidFill>
                  <a:srgbClr val="000000"/>
                </a:solidFill>
              </a:rPr>
              <a:t>in km</a:t>
            </a:r>
            <a:r>
              <a:rPr lang="en-US" cap="none" sz="1000" b="0" i="0" u="none" baseline="0">
                <a:solidFill>
                  <a:srgbClr val="000000"/>
                </a:solidFill>
              </a:rPr>
              <a:t> </a:t>
            </a:r>
            <a:r>
              <a:rPr lang="en-US" cap="none" sz="800" b="1" i="0" u="none" baseline="0">
                <a:solidFill>
                  <a:srgbClr val="000000"/>
                </a:solidFill>
              </a:rPr>
              <a:t>ab Nov.</a:t>
            </a:r>
          </a:p>
        </c:rich>
      </c:tx>
      <c:layout>
        <c:manualLayout>
          <c:xMode val="factor"/>
          <c:yMode val="factor"/>
          <c:x val="0"/>
          <c:y val="0"/>
        </c:manualLayout>
      </c:layout>
      <c:spPr>
        <a:noFill/>
        <a:ln>
          <a:noFill/>
        </a:ln>
      </c:spPr>
    </c:title>
    <c:plotArea>
      <c:layout>
        <c:manualLayout>
          <c:xMode val="edge"/>
          <c:yMode val="edge"/>
          <c:x val="0.014"/>
          <c:y val="0.14575"/>
          <c:w val="0.97225"/>
          <c:h val="0.74425"/>
        </c:manualLayout>
      </c:layout>
      <c:barChart>
        <c:barDir val="col"/>
        <c:grouping val="clustered"/>
        <c:varyColors val="0"/>
        <c:ser>
          <c:idx val="0"/>
          <c:order val="0"/>
          <c:tx>
            <c:v>Du</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Vergleich!$B$4:$B$6</c:f>
              <c:numCache>
                <c:ptCount val="3"/>
                <c:pt idx="0">
                  <c:v>0</c:v>
                </c:pt>
                <c:pt idx="1">
                  <c:v>0</c:v>
                </c:pt>
                <c:pt idx="2">
                  <c:v>0</c:v>
                </c:pt>
              </c:numCache>
            </c:numRef>
          </c:val>
        </c:ser>
        <c:ser>
          <c:idx val="1"/>
          <c:order val="1"/>
          <c:tx>
            <c:v>Max</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Vergleich!$F$4:$F$6</c:f>
              <c:numCache>
                <c:ptCount val="3"/>
                <c:pt idx="0">
                  <c:v>0</c:v>
                </c:pt>
                <c:pt idx="1">
                  <c:v>0</c:v>
                </c:pt>
                <c:pt idx="2">
                  <c:v>0</c:v>
                </c:pt>
              </c:numCache>
            </c:numRef>
          </c:val>
        </c:ser>
        <c:axId val="19812391"/>
        <c:axId val="44093792"/>
      </c:barChart>
      <c:catAx>
        <c:axId val="19812391"/>
        <c:scaling>
          <c:orientation val="minMax"/>
        </c:scaling>
        <c:axPos val="b"/>
        <c:title>
          <c:tx>
            <c:rich>
              <a:bodyPr vert="horz" rot="0" anchor="ctr"/>
              <a:lstStyle/>
              <a:p>
                <a:pPr algn="ctr">
                  <a:defRPr/>
                </a:pPr>
                <a:r>
                  <a:rPr lang="en-US" cap="none" sz="1000" b="0" i="0" u="none" baseline="0">
                    <a:solidFill>
                      <a:srgbClr val="000000"/>
                    </a:solidFill>
                  </a:rPr>
                  <a:t>Schwimmen                     Radfahren                        Laufen</a:t>
                </a:r>
              </a:p>
            </c:rich>
          </c:tx>
          <c:layout>
            <c:manualLayout>
              <c:xMode val="factor"/>
              <c:yMode val="factor"/>
              <c:x val="-0.00875"/>
              <c:y val="-0.00425"/>
            </c:manualLayout>
          </c:layout>
          <c:overlay val="0"/>
          <c:spPr>
            <a:noFill/>
            <a:ln>
              <a:noFill/>
            </a:ln>
          </c:spPr>
        </c:title>
        <c:delete val="1"/>
        <c:majorTickMark val="out"/>
        <c:minorTickMark val="none"/>
        <c:tickLblPos val="nextTo"/>
        <c:crossAx val="44093792"/>
        <c:crossesAt val="0"/>
        <c:auto val="1"/>
        <c:lblOffset val="100"/>
        <c:noMultiLvlLbl val="0"/>
      </c:catAx>
      <c:valAx>
        <c:axId val="44093792"/>
        <c:scaling>
          <c:orientation val="minMax"/>
        </c:scaling>
        <c:axPos val="l"/>
        <c:delete val="1"/>
        <c:majorTickMark val="out"/>
        <c:minorTickMark val="none"/>
        <c:tickLblPos val="nextTo"/>
        <c:crossAx val="19812391"/>
        <c:crossesAt val="1"/>
        <c:crossBetween val="between"/>
        <c:dispUnits/>
      </c:valAx>
      <c:spPr>
        <a:noFill/>
        <a:ln>
          <a:noFill/>
        </a:ln>
      </c:spPr>
    </c:plotArea>
    <c:legend>
      <c:legendPos val="r"/>
      <c:layout>
        <c:manualLayout>
          <c:xMode val="edge"/>
          <c:yMode val="edge"/>
          <c:x val="0.0445"/>
          <c:y val="0.1425"/>
          <c:w val="0.0795"/>
          <c:h val="0.05175"/>
        </c:manualLayout>
      </c:layout>
      <c:overlay val="0"/>
      <c:spPr>
        <a:solidFill>
          <a:srgbClr val="FFFFFF"/>
        </a:solid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25"/>
          <c:y val="0.1385"/>
          <c:w val="0.9475"/>
          <c:h val="0.790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Kader!$CV$17:$DB$17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Kader!$CV$26:$DB$26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Kader!$CV$35:$DB$35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Kader!$CV$36:$DB$36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Kader!$CV$37:$DB$37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Kader!$CV$38:$DB$38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Kader!$CV$39:$DB$39</c:f>
              <c:numCache>
                <c:ptCount val="7"/>
                <c:pt idx="0">
                  <c:v>0</c:v>
                </c:pt>
                <c:pt idx="1">
                  <c:v>0</c:v>
                </c:pt>
                <c:pt idx="2">
                  <c:v>0</c:v>
                </c:pt>
                <c:pt idx="3">
                  <c:v>0</c:v>
                </c:pt>
                <c:pt idx="4">
                  <c:v>0</c:v>
                </c:pt>
                <c:pt idx="5">
                  <c:v>0</c:v>
                </c:pt>
                <c:pt idx="6">
                  <c:v>0</c:v>
                </c:pt>
              </c:numCache>
            </c:numRef>
          </c:val>
        </c:ser>
        <c:overlap val="100"/>
        <c:gapWidth val="100"/>
        <c:axId val="62714567"/>
        <c:axId val="27560192"/>
      </c:barChart>
      <c:catAx>
        <c:axId val="6271456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27560192"/>
        <c:crossesAt val="0"/>
        <c:auto val="1"/>
        <c:lblOffset val="100"/>
        <c:noMultiLvlLbl val="0"/>
      </c:catAx>
      <c:valAx>
        <c:axId val="27560192"/>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2714567"/>
        <c:crossesAt val="1"/>
        <c:crossBetween val="between"/>
        <c:dispUnits/>
      </c:valAx>
      <c:spPr>
        <a:noFill/>
        <a:ln>
          <a:noFill/>
        </a:ln>
      </c:spPr>
    </c:plotArea>
    <c:legend>
      <c:legendPos val="r"/>
      <c:layout>
        <c:manualLayout>
          <c:xMode val="edge"/>
          <c:yMode val="edge"/>
          <c:x val="0.119"/>
          <c:y val="0.96375"/>
          <c:w val="0.82175"/>
          <c:h val="0.0362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6"/>
          <c:y val="0.13825"/>
          <c:w val="0.9475"/>
          <c:h val="0.79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Kader!$DC$17:$DI$17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Kader!$DC$26:$DI$26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Kader!$DC$35:$DI$35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Kader!$DC$36:$DI$36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Kader!$DC$37:$DI$37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Kader!$DC$38:$DI$38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Kader!$DC$39:$DI$39</c:f>
              <c:numCache>
                <c:ptCount val="7"/>
                <c:pt idx="0">
                  <c:v>0</c:v>
                </c:pt>
                <c:pt idx="1">
                  <c:v>0</c:v>
                </c:pt>
                <c:pt idx="2">
                  <c:v>0</c:v>
                </c:pt>
                <c:pt idx="3">
                  <c:v>0</c:v>
                </c:pt>
                <c:pt idx="4">
                  <c:v>0</c:v>
                </c:pt>
                <c:pt idx="5">
                  <c:v>0</c:v>
                </c:pt>
                <c:pt idx="6">
                  <c:v>0</c:v>
                </c:pt>
              </c:numCache>
            </c:numRef>
          </c:val>
        </c:ser>
        <c:overlap val="100"/>
        <c:gapWidth val="100"/>
        <c:axId val="46715137"/>
        <c:axId val="17783050"/>
      </c:barChart>
      <c:catAx>
        <c:axId val="4671513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17783050"/>
        <c:crossesAt val="0"/>
        <c:auto val="1"/>
        <c:lblOffset val="100"/>
        <c:noMultiLvlLbl val="0"/>
      </c:catAx>
      <c:valAx>
        <c:axId val="17783050"/>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46715137"/>
        <c:crossesAt val="1"/>
        <c:crossBetween val="between"/>
        <c:dispUnits/>
      </c:valAx>
      <c:spPr>
        <a:noFill/>
        <a:ln>
          <a:noFill/>
        </a:ln>
      </c:spPr>
    </c:plotArea>
    <c:legend>
      <c:legendPos val="r"/>
      <c:layout>
        <c:manualLayout>
          <c:xMode val="edge"/>
          <c:yMode val="edge"/>
          <c:x val="0.1185"/>
          <c:y val="0.96375"/>
          <c:w val="0.81875"/>
          <c:h val="0.0362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6"/>
          <c:y val="0.13775"/>
          <c:w val="0.9475"/>
          <c:h val="0.791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Kader!$DJ$17:$DP$17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Kader!$DJ$26:$DP$26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Kader!$DJ$35:$DP$35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Kader!$DJ$36:$DP$36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Kader!$DJ$37:$DP$37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Kader!$DJ$38:$DP$38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Kader!$DJ$39:$DP$39</c:f>
              <c:numCache>
                <c:ptCount val="7"/>
                <c:pt idx="0">
                  <c:v>0</c:v>
                </c:pt>
                <c:pt idx="1">
                  <c:v>0</c:v>
                </c:pt>
                <c:pt idx="2">
                  <c:v>0</c:v>
                </c:pt>
                <c:pt idx="3">
                  <c:v>0</c:v>
                </c:pt>
                <c:pt idx="4">
                  <c:v>0</c:v>
                </c:pt>
                <c:pt idx="5">
                  <c:v>0</c:v>
                </c:pt>
                <c:pt idx="6">
                  <c:v>0</c:v>
                </c:pt>
              </c:numCache>
            </c:numRef>
          </c:val>
        </c:ser>
        <c:overlap val="100"/>
        <c:gapWidth val="100"/>
        <c:axId val="25829723"/>
        <c:axId val="31140916"/>
      </c:barChart>
      <c:catAx>
        <c:axId val="2582972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1140916"/>
        <c:crossesAt val="0"/>
        <c:auto val="1"/>
        <c:lblOffset val="100"/>
        <c:noMultiLvlLbl val="0"/>
      </c:catAx>
      <c:valAx>
        <c:axId val="31140916"/>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25829723"/>
        <c:crossesAt val="1"/>
        <c:crossBetween val="between"/>
        <c:dispUnits/>
      </c:valAx>
      <c:spPr>
        <a:noFill/>
        <a:ln>
          <a:noFill/>
        </a:ln>
      </c:spPr>
    </c:plotArea>
    <c:legend>
      <c:legendPos val="r"/>
      <c:layout>
        <c:manualLayout>
          <c:xMode val="edge"/>
          <c:yMode val="edge"/>
          <c:x val="0.122"/>
          <c:y val="0.964"/>
          <c:w val="0.81875"/>
          <c:h val="0.036"/>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6"/>
          <c:y val="0.1375"/>
          <c:w val="0.948"/>
          <c:h val="0.792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Kader!$DQ$17:$DW$17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Kader!$DQ$26:$DW$26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Kader!$DQ$35:$DW$35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Kader!$DQ$36:$DW$36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Kader!$DQ$37:$DW$37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Kader!$DQ$38:$DW$38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Kader!$DQ$39:$DW$39</c:f>
              <c:numCache>
                <c:ptCount val="7"/>
                <c:pt idx="0">
                  <c:v>0</c:v>
                </c:pt>
                <c:pt idx="1">
                  <c:v>0</c:v>
                </c:pt>
                <c:pt idx="2">
                  <c:v>0</c:v>
                </c:pt>
                <c:pt idx="3">
                  <c:v>0</c:v>
                </c:pt>
                <c:pt idx="4">
                  <c:v>0</c:v>
                </c:pt>
                <c:pt idx="5">
                  <c:v>0</c:v>
                </c:pt>
                <c:pt idx="6">
                  <c:v>0</c:v>
                </c:pt>
              </c:numCache>
            </c:numRef>
          </c:val>
        </c:ser>
        <c:overlap val="100"/>
        <c:gapWidth val="100"/>
        <c:axId val="11832789"/>
        <c:axId val="39386238"/>
      </c:barChart>
      <c:catAx>
        <c:axId val="1183278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9386238"/>
        <c:crossesAt val="0"/>
        <c:auto val="1"/>
        <c:lblOffset val="100"/>
        <c:noMultiLvlLbl val="0"/>
      </c:catAx>
      <c:valAx>
        <c:axId val="39386238"/>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11832789"/>
        <c:crossesAt val="1"/>
        <c:crossBetween val="between"/>
        <c:dispUnits/>
      </c:valAx>
      <c:spPr>
        <a:noFill/>
        <a:ln>
          <a:noFill/>
        </a:ln>
      </c:spPr>
    </c:plotArea>
    <c:legend>
      <c:legendPos val="r"/>
      <c:layout>
        <c:manualLayout>
          <c:xMode val="edge"/>
          <c:yMode val="edge"/>
          <c:x val="0.1215"/>
          <c:y val="0.964"/>
          <c:w val="0.816"/>
          <c:h val="0.036"/>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6"/>
          <c:y val="0.13725"/>
          <c:w val="0.948"/>
          <c:h val="0.793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Kader!$DX$17:$ED$17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Kader!$DX$26:$ED$26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Kader!$DX$35:$ED$35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Kader!$DX$36:$ED$36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Kader!$DX$37:$ED$37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Kader!$DX$38:$ED$38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Kader!$DX$39:$ED$39</c:f>
              <c:numCache>
                <c:ptCount val="7"/>
                <c:pt idx="0">
                  <c:v>0</c:v>
                </c:pt>
                <c:pt idx="1">
                  <c:v>0</c:v>
                </c:pt>
                <c:pt idx="2">
                  <c:v>0</c:v>
                </c:pt>
                <c:pt idx="3">
                  <c:v>0</c:v>
                </c:pt>
                <c:pt idx="4">
                  <c:v>0</c:v>
                </c:pt>
                <c:pt idx="5">
                  <c:v>0</c:v>
                </c:pt>
                <c:pt idx="6">
                  <c:v>0</c:v>
                </c:pt>
              </c:numCache>
            </c:numRef>
          </c:val>
        </c:ser>
        <c:overlap val="100"/>
        <c:gapWidth val="100"/>
        <c:axId val="18931823"/>
        <c:axId val="36168680"/>
      </c:barChart>
      <c:catAx>
        <c:axId val="1893182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6168680"/>
        <c:crossesAt val="0"/>
        <c:auto val="1"/>
        <c:lblOffset val="100"/>
        <c:noMultiLvlLbl val="0"/>
      </c:catAx>
      <c:valAx>
        <c:axId val="36168680"/>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18931823"/>
        <c:crossesAt val="1"/>
        <c:crossBetween val="between"/>
        <c:dispUnits/>
      </c:valAx>
      <c:spPr>
        <a:noFill/>
        <a:ln>
          <a:noFill/>
        </a:ln>
      </c:spPr>
    </c:plotArea>
    <c:legend>
      <c:legendPos val="r"/>
      <c:layout>
        <c:manualLayout>
          <c:xMode val="edge"/>
          <c:yMode val="edge"/>
          <c:x val="0.125"/>
          <c:y val="0.96425"/>
          <c:w val="0.816"/>
          <c:h val="0.0357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625"/>
          <c:y val="0.13725"/>
          <c:w val="0.94825"/>
          <c:h val="0.793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Kader!$EE$17:$EK$17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Kader!$EE$26:$EK$26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Kader!$EE$35:$EK$35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Kader!$EE$36:$EK$36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Kader!$EE$37:$EK$37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Kader!$EE$38:$EK$38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Kader!$EE$39:$EK$39</c:f>
              <c:numCache>
                <c:ptCount val="7"/>
                <c:pt idx="0">
                  <c:v>0</c:v>
                </c:pt>
                <c:pt idx="1">
                  <c:v>0</c:v>
                </c:pt>
                <c:pt idx="2">
                  <c:v>0</c:v>
                </c:pt>
                <c:pt idx="3">
                  <c:v>0</c:v>
                </c:pt>
                <c:pt idx="4">
                  <c:v>0</c:v>
                </c:pt>
                <c:pt idx="5">
                  <c:v>0</c:v>
                </c:pt>
                <c:pt idx="6">
                  <c:v>0</c:v>
                </c:pt>
              </c:numCache>
            </c:numRef>
          </c:val>
        </c:ser>
        <c:overlap val="100"/>
        <c:gapWidth val="100"/>
        <c:axId val="57082665"/>
        <c:axId val="43981938"/>
      </c:barChart>
      <c:catAx>
        <c:axId val="570826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43981938"/>
        <c:crossesAt val="0"/>
        <c:auto val="1"/>
        <c:lblOffset val="100"/>
        <c:noMultiLvlLbl val="0"/>
      </c:catAx>
      <c:valAx>
        <c:axId val="43981938"/>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57082665"/>
        <c:crossesAt val="1"/>
        <c:crossBetween val="between"/>
        <c:dispUnits/>
      </c:valAx>
      <c:spPr>
        <a:noFill/>
        <a:ln>
          <a:noFill/>
        </a:ln>
      </c:spPr>
    </c:plotArea>
    <c:legend>
      <c:legendPos val="r"/>
      <c:layout>
        <c:manualLayout>
          <c:xMode val="edge"/>
          <c:yMode val="edge"/>
          <c:x val="0.128"/>
          <c:y val="0.96425"/>
          <c:w val="0.81325"/>
          <c:h val="0.0357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575"/>
          <c:y val="0.1375"/>
          <c:w val="0.948"/>
          <c:h val="0.79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Kader!$EL$17:$ER$17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Kader!$EL$26:$ER$26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Kader!$EL$35:$ER$35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Kader!$EL$36:$ER$36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Kader!$EL$37:$ER$37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Kader!$EL$38:$ER$38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Kader!$EL$39:$ER$39</c:f>
              <c:numCache>
                <c:ptCount val="7"/>
                <c:pt idx="0">
                  <c:v>0</c:v>
                </c:pt>
                <c:pt idx="1">
                  <c:v>0</c:v>
                </c:pt>
                <c:pt idx="2">
                  <c:v>0</c:v>
                </c:pt>
                <c:pt idx="3">
                  <c:v>0</c:v>
                </c:pt>
                <c:pt idx="4">
                  <c:v>0</c:v>
                </c:pt>
                <c:pt idx="5">
                  <c:v>0</c:v>
                </c:pt>
                <c:pt idx="6">
                  <c:v>0</c:v>
                </c:pt>
              </c:numCache>
            </c:numRef>
          </c:val>
        </c:ser>
        <c:overlap val="100"/>
        <c:gapWidth val="100"/>
        <c:axId val="60293123"/>
        <c:axId val="5767196"/>
      </c:barChart>
      <c:catAx>
        <c:axId val="6029312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5767196"/>
        <c:crossesAt val="0"/>
        <c:auto val="1"/>
        <c:lblOffset val="100"/>
        <c:noMultiLvlLbl val="0"/>
      </c:catAx>
      <c:valAx>
        <c:axId val="5767196"/>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0293123"/>
        <c:crossesAt val="1"/>
        <c:crossBetween val="between"/>
        <c:dispUnits/>
      </c:valAx>
      <c:spPr>
        <a:noFill/>
        <a:ln>
          <a:noFill/>
        </a:ln>
      </c:spPr>
    </c:plotArea>
    <c:legend>
      <c:legendPos val="r"/>
      <c:layout>
        <c:manualLayout>
          <c:xMode val="edge"/>
          <c:yMode val="edge"/>
          <c:x val="0.12425"/>
          <c:y val="0.96425"/>
          <c:w val="0.81025"/>
          <c:h val="0.0357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575"/>
          <c:y val="0.13725"/>
          <c:w val="0.948"/>
          <c:h val="0.7927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Kader!$ES$17:$EY$17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Kader!$ES$26:$EY$26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Kader!$ES$35:$EY$35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Kader!$ES$36:$EY$36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Kader!$ES$37:$EY$37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Kader!$ES$38:$EY$38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Kader!$ES$39:$EY$39</c:f>
              <c:numCache>
                <c:ptCount val="7"/>
                <c:pt idx="0">
                  <c:v>0</c:v>
                </c:pt>
                <c:pt idx="1">
                  <c:v>0</c:v>
                </c:pt>
                <c:pt idx="2">
                  <c:v>0</c:v>
                </c:pt>
                <c:pt idx="3">
                  <c:v>0</c:v>
                </c:pt>
                <c:pt idx="4">
                  <c:v>0</c:v>
                </c:pt>
                <c:pt idx="5">
                  <c:v>0</c:v>
                </c:pt>
                <c:pt idx="6">
                  <c:v>0</c:v>
                </c:pt>
              </c:numCache>
            </c:numRef>
          </c:val>
        </c:ser>
        <c:overlap val="100"/>
        <c:gapWidth val="100"/>
        <c:axId val="51904765"/>
        <c:axId val="64489702"/>
      </c:barChart>
      <c:catAx>
        <c:axId val="519047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4489702"/>
        <c:crossesAt val="0"/>
        <c:auto val="1"/>
        <c:lblOffset val="100"/>
        <c:noMultiLvlLbl val="0"/>
      </c:catAx>
      <c:valAx>
        <c:axId val="64489702"/>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51904765"/>
        <c:crossesAt val="1"/>
        <c:crossBetween val="between"/>
        <c:dispUnits/>
      </c:valAx>
      <c:spPr>
        <a:noFill/>
        <a:ln>
          <a:noFill/>
        </a:ln>
      </c:spPr>
    </c:plotArea>
    <c:legend>
      <c:legendPos val="r"/>
      <c:layout>
        <c:manualLayout>
          <c:xMode val="edge"/>
          <c:yMode val="edge"/>
          <c:x val="0.12075"/>
          <c:y val="0.96425"/>
          <c:w val="0.81025"/>
          <c:h val="0.0357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575"/>
          <c:y val="0.1375"/>
          <c:w val="0.94825"/>
          <c:h val="0.79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Kader!$EZ$17:$FF$17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Kader!$EZ$26:$FF$26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Kader!$EZ$35:$FF$35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Kader!$EZ$36:$FF$36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Kader!$EZ$37:$FF$37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Kader!$EZ$38:$FF$38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Kader!$EZ$39:$FF$39</c:f>
              <c:numCache>
                <c:ptCount val="7"/>
                <c:pt idx="0">
                  <c:v>0</c:v>
                </c:pt>
                <c:pt idx="1">
                  <c:v>0</c:v>
                </c:pt>
                <c:pt idx="2">
                  <c:v>0</c:v>
                </c:pt>
                <c:pt idx="3">
                  <c:v>0</c:v>
                </c:pt>
                <c:pt idx="4">
                  <c:v>0</c:v>
                </c:pt>
                <c:pt idx="5">
                  <c:v>0</c:v>
                </c:pt>
                <c:pt idx="6">
                  <c:v>0</c:v>
                </c:pt>
              </c:numCache>
            </c:numRef>
          </c:val>
        </c:ser>
        <c:overlap val="100"/>
        <c:gapWidth val="100"/>
        <c:axId val="43536407"/>
        <c:axId val="56283344"/>
      </c:barChart>
      <c:catAx>
        <c:axId val="4353640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56283344"/>
        <c:crossesAt val="0"/>
        <c:auto val="1"/>
        <c:lblOffset val="100"/>
        <c:noMultiLvlLbl val="0"/>
      </c:catAx>
      <c:valAx>
        <c:axId val="56283344"/>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43536407"/>
        <c:crossesAt val="1"/>
        <c:crossBetween val="between"/>
        <c:dispUnits/>
      </c:valAx>
      <c:spPr>
        <a:noFill/>
        <a:ln>
          <a:noFill/>
        </a:ln>
      </c:spPr>
    </c:plotArea>
    <c:legend>
      <c:legendPos val="r"/>
      <c:layout>
        <c:manualLayout>
          <c:xMode val="edge"/>
          <c:yMode val="edge"/>
          <c:x val="0.12375"/>
          <c:y val="0.9645"/>
          <c:w val="0.8075"/>
          <c:h val="0.035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6"/>
          <c:y val="0.1375"/>
          <c:w val="0.94825"/>
          <c:h val="0.79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Kader!$FG$17:$FM$17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Kader!$FG$26:$FM$26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Kader!$FG$35:$FM$35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Kader!$FG$36:$FM$36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Kader!$FG$37:$FM$37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Kader!$FG$38:$FM$38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Kader!$FG$39:$FM$39</c:f>
              <c:numCache>
                <c:ptCount val="7"/>
                <c:pt idx="0">
                  <c:v>0</c:v>
                </c:pt>
                <c:pt idx="1">
                  <c:v>0</c:v>
                </c:pt>
                <c:pt idx="2">
                  <c:v>0</c:v>
                </c:pt>
                <c:pt idx="3">
                  <c:v>0</c:v>
                </c:pt>
                <c:pt idx="4">
                  <c:v>0</c:v>
                </c:pt>
                <c:pt idx="5">
                  <c:v>0</c:v>
                </c:pt>
                <c:pt idx="6">
                  <c:v>0</c:v>
                </c:pt>
              </c:numCache>
            </c:numRef>
          </c:val>
        </c:ser>
        <c:overlap val="100"/>
        <c:gapWidth val="100"/>
        <c:axId val="36788049"/>
        <c:axId val="62656986"/>
      </c:barChart>
      <c:catAx>
        <c:axId val="3678804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2656986"/>
        <c:crossesAt val="0"/>
        <c:auto val="1"/>
        <c:lblOffset val="100"/>
        <c:noMultiLvlLbl val="0"/>
      </c:catAx>
      <c:valAx>
        <c:axId val="62656986"/>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6788049"/>
        <c:crossesAt val="1"/>
        <c:crossBetween val="between"/>
        <c:dispUnits/>
      </c:valAx>
      <c:spPr>
        <a:noFill/>
        <a:ln>
          <a:noFill/>
        </a:ln>
      </c:spPr>
    </c:plotArea>
    <c:legend>
      <c:legendPos val="r"/>
      <c:layout>
        <c:manualLayout>
          <c:xMode val="edge"/>
          <c:yMode val="edge"/>
          <c:x val="0.12725"/>
          <c:y val="0.9645"/>
          <c:w val="0.8075"/>
          <c:h val="0.035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FF0000"/>
                </a:solidFill>
              </a:rPr>
              <a:t>Ist</a:t>
            </a:r>
            <a:r>
              <a:rPr lang="en-US" cap="none" sz="1000" b="0" i="0" u="none" baseline="0">
                <a:solidFill>
                  <a:srgbClr val="000000"/>
                </a:solidFill>
              </a:rPr>
              <a:t>-</a:t>
            </a:r>
            <a:r>
              <a:rPr lang="en-US" cap="none" sz="1000" b="1" i="0" u="none" baseline="0">
                <a:solidFill>
                  <a:srgbClr val="000000"/>
                </a:solidFill>
              </a:rPr>
              <a:t>Jahresumfänge</a:t>
            </a:r>
            <a:r>
              <a:rPr lang="en-US" cap="none" sz="1000" b="0" i="0" u="none" baseline="0">
                <a:solidFill>
                  <a:srgbClr val="000000"/>
                </a:solidFill>
              </a:rPr>
              <a:t> in </a:t>
            </a:r>
            <a:r>
              <a:rPr lang="en-US" cap="none" sz="1000" b="1" i="0" u="none" baseline="0">
                <a:solidFill>
                  <a:srgbClr val="000000"/>
                </a:solidFill>
              </a:rPr>
              <a:t>km</a:t>
            </a:r>
            <a:r>
              <a:rPr lang="en-US" cap="none" sz="1000" b="0" i="0" u="none" baseline="0">
                <a:solidFill>
                  <a:srgbClr val="000000"/>
                </a:solidFill>
              </a:rPr>
              <a:t>  </a:t>
            </a:r>
            <a:r>
              <a:rPr lang="en-US" cap="none" sz="800" b="0" i="0" u="none" baseline="0">
                <a:solidFill>
                  <a:srgbClr val="000000"/>
                </a:solidFill>
              </a:rPr>
              <a:t>Nov 20 - Okt 21</a:t>
            </a:r>
            <a:r>
              <a:rPr lang="en-US" cap="none" sz="1000" b="0" i="0" u="none" baseline="0">
                <a:solidFill>
                  <a:srgbClr val="000000"/>
                </a:solidFill>
              </a:rPr>
              <a:t>                                         
Schwimmen </a:t>
            </a:r>
            <a:r>
              <a:rPr lang="en-US" cap="none" sz="800" b="0" i="0" u="none" baseline="0">
                <a:solidFill>
                  <a:srgbClr val="000000"/>
                </a:solidFill>
              </a:rPr>
              <a:t>blau</a:t>
            </a:r>
            <a:r>
              <a:rPr lang="en-US" cap="none" sz="1000" b="0" i="0" u="none" baseline="0">
                <a:solidFill>
                  <a:srgbClr val="000000"/>
                </a:solidFill>
              </a:rPr>
              <a:t> - Radfahren </a:t>
            </a:r>
            <a:r>
              <a:rPr lang="en-US" cap="none" sz="800" b="0" i="0" u="none" baseline="0">
                <a:solidFill>
                  <a:srgbClr val="000000"/>
                </a:solidFill>
              </a:rPr>
              <a:t>gelb</a:t>
            </a:r>
            <a:r>
              <a:rPr lang="en-US" cap="none" sz="1000" b="0" i="0" u="none" baseline="0">
                <a:solidFill>
                  <a:srgbClr val="000000"/>
                </a:solidFill>
              </a:rPr>
              <a:t> - Laufen </a:t>
            </a:r>
            <a:r>
              <a:rPr lang="en-US" cap="none" sz="800" b="0" i="0" u="none" baseline="0">
                <a:solidFill>
                  <a:srgbClr val="000000"/>
                </a:solidFill>
              </a:rPr>
              <a:t>grün</a:t>
            </a:r>
          </a:p>
        </c:rich>
      </c:tx>
      <c:layout>
        <c:manualLayout>
          <c:xMode val="factor"/>
          <c:yMode val="factor"/>
          <c:x val="0.00175"/>
          <c:y val="0"/>
        </c:manualLayout>
      </c:layout>
      <c:spPr>
        <a:noFill/>
        <a:ln>
          <a:noFill/>
        </a:ln>
      </c:spPr>
    </c:title>
    <c:view3D>
      <c:rotX val="15"/>
      <c:hPercent val="100"/>
      <c:rotY val="0"/>
      <c:depthPercent val="100"/>
      <c:rAngAx val="1"/>
    </c:view3D>
    <c:plotArea>
      <c:layout>
        <c:manualLayout>
          <c:xMode val="edge"/>
          <c:yMode val="edge"/>
          <c:x val="0.18375"/>
          <c:y val="0.3385"/>
          <c:w val="0.631"/>
          <c:h val="0.49225"/>
        </c:manualLayout>
      </c:layout>
      <c:pie3DChart>
        <c:varyColors val="1"/>
        <c:ser>
          <c:idx val="0"/>
          <c:order val="0"/>
          <c:tx>
            <c:v>Ist-Jahresumfang absolut</c:v>
          </c:tx>
          <c:spPr>
            <a:solidFill>
              <a:srgbClr val="9999FF"/>
            </a:solidFill>
            <a:ln w="3175">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3175">
                <a:solidFill>
                  <a:srgbClr val="000000"/>
                </a:solidFill>
              </a:ln>
            </c:spPr>
          </c:dPt>
          <c:dPt>
            <c:idx val="1"/>
            <c:spPr>
              <a:solidFill>
                <a:srgbClr val="FFFF99"/>
              </a:solidFill>
              <a:ln w="3175">
                <a:solidFill>
                  <a:srgbClr val="000000"/>
                </a:solidFill>
              </a:ln>
            </c:spPr>
          </c:dPt>
          <c:dPt>
            <c:idx val="2"/>
            <c:spPr>
              <a:solidFill>
                <a:srgbClr val="339966"/>
              </a:solidFill>
              <a:ln w="3175">
                <a:solidFill>
                  <a:srgbClr val="000000"/>
                </a:solid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975" b="0" i="0" u="none" baseline="0">
                    <a:solidFill>
                      <a:srgbClr val="000000"/>
                    </a:solidFill>
                  </a:defRPr>
                </a:pPr>
              </a:p>
            </c:txPr>
            <c:showLegendKey val="0"/>
            <c:showVal val="1"/>
            <c:showBubbleSize val="0"/>
            <c:showCatName val="0"/>
            <c:showSerName val="0"/>
            <c:showLeaderLines val="0"/>
            <c:showPercent val="0"/>
          </c:dLbls>
          <c:val>
            <c:numRef>
              <c:f>Vergleich!$B$4:$B$6</c:f>
              <c:numCache>
                <c:ptCount val="3"/>
                <c:pt idx="0">
                  <c:v>2.3</c:v>
                </c:pt>
                <c:pt idx="1">
                  <c:v>48.2</c:v>
                </c:pt>
                <c:pt idx="2">
                  <c:v>7.8</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6"/>
          <c:y val="0.13825"/>
          <c:w val="0.9485"/>
          <c:h val="0.793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Kader!$FN$17:$FT$17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Kader!$FN$26:$FT$26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Kader!$FN$35:$FT$35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Kader!$FN$36:$FT$36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Kader!$FN$37:$FT$37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Kader!$FN$38:$FT$38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Kader!$FN$39:$FT$39</c:f>
              <c:numCache>
                <c:ptCount val="7"/>
                <c:pt idx="0">
                  <c:v>0</c:v>
                </c:pt>
                <c:pt idx="1">
                  <c:v>0</c:v>
                </c:pt>
                <c:pt idx="2">
                  <c:v>0</c:v>
                </c:pt>
                <c:pt idx="3">
                  <c:v>0</c:v>
                </c:pt>
                <c:pt idx="4">
                  <c:v>0</c:v>
                </c:pt>
                <c:pt idx="5">
                  <c:v>0</c:v>
                </c:pt>
                <c:pt idx="6">
                  <c:v>0</c:v>
                </c:pt>
              </c:numCache>
            </c:numRef>
          </c:val>
        </c:ser>
        <c:overlap val="100"/>
        <c:gapWidth val="100"/>
        <c:axId val="27041963"/>
        <c:axId val="42051076"/>
      </c:barChart>
      <c:catAx>
        <c:axId val="2704196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42051076"/>
        <c:crossesAt val="0"/>
        <c:auto val="1"/>
        <c:lblOffset val="100"/>
        <c:noMultiLvlLbl val="0"/>
      </c:catAx>
      <c:valAx>
        <c:axId val="42051076"/>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27041963"/>
        <c:crossesAt val="1"/>
        <c:crossBetween val="between"/>
        <c:dispUnits/>
      </c:valAx>
      <c:spPr>
        <a:noFill/>
        <a:ln>
          <a:noFill/>
        </a:ln>
      </c:spPr>
    </c:plotArea>
    <c:legend>
      <c:legendPos val="r"/>
      <c:layout>
        <c:manualLayout>
          <c:xMode val="edge"/>
          <c:yMode val="edge"/>
          <c:x val="0.13025"/>
          <c:y val="0.9645"/>
          <c:w val="0.80475"/>
          <c:h val="0.035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6"/>
          <c:y val="0.138"/>
          <c:w val="0.9485"/>
          <c:h val="0.793"/>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Kader!$FU$17:$GA$17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Kader!$FU$26:$GA$26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Kader!$FU$35:$GA$35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Kader!$FU$36:$GA$36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Kader!$FU$37:$GA$37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Kader!$FU$38:$GA$38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Kader!$FU$39:$GA$39</c:f>
              <c:numCache>
                <c:ptCount val="7"/>
                <c:pt idx="0">
                  <c:v>0</c:v>
                </c:pt>
                <c:pt idx="1">
                  <c:v>0</c:v>
                </c:pt>
                <c:pt idx="2">
                  <c:v>0</c:v>
                </c:pt>
                <c:pt idx="3">
                  <c:v>0</c:v>
                </c:pt>
                <c:pt idx="4">
                  <c:v>0</c:v>
                </c:pt>
                <c:pt idx="5">
                  <c:v>0</c:v>
                </c:pt>
                <c:pt idx="6">
                  <c:v>0</c:v>
                </c:pt>
              </c:numCache>
            </c:numRef>
          </c:val>
        </c:ser>
        <c:overlap val="100"/>
        <c:gapWidth val="100"/>
        <c:axId val="42915365"/>
        <c:axId val="50693966"/>
      </c:barChart>
      <c:catAx>
        <c:axId val="429153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50693966"/>
        <c:crossesAt val="0"/>
        <c:auto val="1"/>
        <c:lblOffset val="100"/>
        <c:noMultiLvlLbl val="0"/>
      </c:catAx>
      <c:valAx>
        <c:axId val="50693966"/>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42915365"/>
        <c:crossesAt val="1"/>
        <c:crossBetween val="between"/>
        <c:dispUnits/>
      </c:valAx>
      <c:spPr>
        <a:noFill/>
        <a:ln>
          <a:noFill/>
        </a:ln>
      </c:spPr>
    </c:plotArea>
    <c:legend>
      <c:legendPos val="r"/>
      <c:layout>
        <c:manualLayout>
          <c:xMode val="edge"/>
          <c:yMode val="edge"/>
          <c:x val="0.13025"/>
          <c:y val="0.9645"/>
          <c:w val="0.80475"/>
          <c:h val="0.035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55"/>
          <c:y val="0.136"/>
          <c:w val="0.94875"/>
          <c:h val="0.79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Kader!$GB$17:$GH$17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Kader!$GB$26:$GH$26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Kader!$GB$35:$GH$35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Kader!$GB$36:$GH$36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Kader!$GB$37:$GH$37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Kader!$GB$38:$GH$38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Kader!$GB$39:$GH$39</c:f>
              <c:numCache>
                <c:ptCount val="7"/>
                <c:pt idx="0">
                  <c:v>0</c:v>
                </c:pt>
                <c:pt idx="1">
                  <c:v>0</c:v>
                </c:pt>
                <c:pt idx="2">
                  <c:v>0</c:v>
                </c:pt>
                <c:pt idx="3">
                  <c:v>0</c:v>
                </c:pt>
                <c:pt idx="4">
                  <c:v>0</c:v>
                </c:pt>
                <c:pt idx="5">
                  <c:v>0</c:v>
                </c:pt>
                <c:pt idx="6">
                  <c:v>0</c:v>
                </c:pt>
              </c:numCache>
            </c:numRef>
          </c:val>
        </c:ser>
        <c:overlap val="100"/>
        <c:gapWidth val="100"/>
        <c:axId val="53592511"/>
        <c:axId val="12570552"/>
      </c:barChart>
      <c:catAx>
        <c:axId val="5359251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12570552"/>
        <c:crossesAt val="0"/>
        <c:auto val="1"/>
        <c:lblOffset val="100"/>
        <c:noMultiLvlLbl val="0"/>
      </c:catAx>
      <c:valAx>
        <c:axId val="12570552"/>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53592511"/>
        <c:crossesAt val="1"/>
        <c:crossBetween val="between"/>
        <c:dispUnits/>
      </c:valAx>
      <c:spPr>
        <a:noFill/>
        <a:ln>
          <a:noFill/>
        </a:ln>
      </c:spPr>
    </c:plotArea>
    <c:legend>
      <c:legendPos val="r"/>
      <c:layout>
        <c:manualLayout>
          <c:xMode val="edge"/>
          <c:yMode val="edge"/>
          <c:x val="0.12975"/>
          <c:y val="0.96475"/>
          <c:w val="0.802"/>
          <c:h val="0.0352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75"/>
          <c:y val="0.14325"/>
          <c:w val="0.946"/>
          <c:h val="0.783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Kader!$B$89:$H$89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Kader!$B$98:$H$98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Kader!$B$107:$H$107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Kader!$B$108:$H$108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Kader!$B$109:$H$109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Kader!$B$110:$H$110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Kader!$B$111:$H$111</c:f>
              <c:numCache>
                <c:ptCount val="7"/>
                <c:pt idx="0">
                  <c:v>0</c:v>
                </c:pt>
                <c:pt idx="1">
                  <c:v>0</c:v>
                </c:pt>
                <c:pt idx="2">
                  <c:v>0</c:v>
                </c:pt>
                <c:pt idx="3">
                  <c:v>0</c:v>
                </c:pt>
                <c:pt idx="4">
                  <c:v>0</c:v>
                </c:pt>
                <c:pt idx="5">
                  <c:v>0</c:v>
                </c:pt>
                <c:pt idx="6">
                  <c:v>0</c:v>
                </c:pt>
              </c:numCache>
            </c:numRef>
          </c:val>
        </c:ser>
        <c:overlap val="100"/>
        <c:gapWidth val="100"/>
        <c:axId val="46026105"/>
        <c:axId val="11581762"/>
      </c:barChart>
      <c:catAx>
        <c:axId val="4602610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11581762"/>
        <c:crossesAt val="0"/>
        <c:auto val="1"/>
        <c:lblOffset val="100"/>
        <c:noMultiLvlLbl val="0"/>
      </c:catAx>
      <c:valAx>
        <c:axId val="11581762"/>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46026105"/>
        <c:crossesAt val="1"/>
        <c:crossBetween val="between"/>
        <c:dispUnits/>
      </c:valAx>
      <c:spPr>
        <a:noFill/>
        <a:ln>
          <a:noFill/>
        </a:ln>
      </c:spPr>
    </c:plotArea>
    <c:legend>
      <c:legendPos val="r"/>
      <c:layout>
        <c:manualLayout>
          <c:xMode val="edge"/>
          <c:yMode val="edge"/>
          <c:x val="0.10425"/>
          <c:y val="0.96275"/>
          <c:w val="0.84525"/>
          <c:h val="0.0372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7"/>
          <c:y val="0.1435"/>
          <c:w val="0.94625"/>
          <c:h val="0.784"/>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Kader!$I$89:$O$89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Kader!$I$98:$O$98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Kader!$I$107:$O$107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Kader!$I$108:$O$108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Kader!$I$109:$O$109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Kader!$I$110:$O$110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Kader!$I$111:$O$111</c:f>
              <c:numCache>
                <c:ptCount val="7"/>
                <c:pt idx="0">
                  <c:v>0</c:v>
                </c:pt>
                <c:pt idx="1">
                  <c:v>0</c:v>
                </c:pt>
                <c:pt idx="2">
                  <c:v>0</c:v>
                </c:pt>
                <c:pt idx="3">
                  <c:v>0</c:v>
                </c:pt>
                <c:pt idx="4">
                  <c:v>0</c:v>
                </c:pt>
                <c:pt idx="5">
                  <c:v>0</c:v>
                </c:pt>
                <c:pt idx="6">
                  <c:v>0</c:v>
                </c:pt>
              </c:numCache>
            </c:numRef>
          </c:val>
        </c:ser>
        <c:overlap val="100"/>
        <c:gapWidth val="100"/>
        <c:axId val="37126995"/>
        <c:axId val="65707500"/>
      </c:barChart>
      <c:catAx>
        <c:axId val="3712699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5707500"/>
        <c:crossesAt val="0"/>
        <c:auto val="1"/>
        <c:lblOffset val="100"/>
        <c:noMultiLvlLbl val="0"/>
      </c:catAx>
      <c:valAx>
        <c:axId val="65707500"/>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7126995"/>
        <c:crossesAt val="1"/>
        <c:crossBetween val="between"/>
        <c:dispUnits/>
      </c:valAx>
      <c:spPr>
        <a:noFill/>
        <a:ln>
          <a:noFill/>
        </a:ln>
      </c:spPr>
    </c:plotArea>
    <c:legend>
      <c:legendPos val="r"/>
      <c:layout>
        <c:manualLayout>
          <c:xMode val="edge"/>
          <c:yMode val="edge"/>
          <c:x val="0.111"/>
          <c:y val="0.963"/>
          <c:w val="0.84225"/>
          <c:h val="0.037"/>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7"/>
          <c:y val="0.1435"/>
          <c:w val="0.94625"/>
          <c:h val="0.784"/>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Kader!$P$89:$V$89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Kader!$P$98:$V$98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Kader!$P$107:$V$107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Kader!$P$108:$V$108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Kader!$P$109:$V$109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Kader!$P$110:$V$110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Kader!$P$111:$V$111</c:f>
              <c:numCache>
                <c:ptCount val="7"/>
                <c:pt idx="0">
                  <c:v>0</c:v>
                </c:pt>
                <c:pt idx="1">
                  <c:v>0</c:v>
                </c:pt>
                <c:pt idx="2">
                  <c:v>0</c:v>
                </c:pt>
                <c:pt idx="3">
                  <c:v>0</c:v>
                </c:pt>
                <c:pt idx="4">
                  <c:v>0</c:v>
                </c:pt>
                <c:pt idx="5">
                  <c:v>0</c:v>
                </c:pt>
                <c:pt idx="6">
                  <c:v>0</c:v>
                </c:pt>
              </c:numCache>
            </c:numRef>
          </c:val>
        </c:ser>
        <c:overlap val="100"/>
        <c:gapWidth val="100"/>
        <c:axId val="54496589"/>
        <c:axId val="20707254"/>
      </c:barChart>
      <c:catAx>
        <c:axId val="5449658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20707254"/>
        <c:crossesAt val="0"/>
        <c:auto val="1"/>
        <c:lblOffset val="100"/>
        <c:noMultiLvlLbl val="0"/>
      </c:catAx>
      <c:valAx>
        <c:axId val="20707254"/>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54496589"/>
        <c:crossesAt val="1"/>
        <c:crossBetween val="between"/>
        <c:dispUnits/>
      </c:valAx>
      <c:spPr>
        <a:noFill/>
        <a:ln>
          <a:noFill/>
        </a:ln>
      </c:spPr>
    </c:plotArea>
    <c:legend>
      <c:legendPos val="r"/>
      <c:layout>
        <c:manualLayout>
          <c:xMode val="edge"/>
          <c:yMode val="edge"/>
          <c:x val="0.111"/>
          <c:y val="0.963"/>
          <c:w val="0.84225"/>
          <c:h val="0.037"/>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75"/>
          <c:y val="0.14425"/>
          <c:w val="0.9465"/>
          <c:h val="0.784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Kader!$W$89:$AC$89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Kader!$W$98:$AC$98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Kader!$W$107:$AC$107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Kader!$W$108:$AC$108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Kader!$W$109:$AC$109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Kader!$W$110:$AC$110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Kader!$W$111:$AC$111</c:f>
              <c:numCache>
                <c:ptCount val="7"/>
                <c:pt idx="0">
                  <c:v>0</c:v>
                </c:pt>
                <c:pt idx="1">
                  <c:v>0</c:v>
                </c:pt>
                <c:pt idx="2">
                  <c:v>0</c:v>
                </c:pt>
                <c:pt idx="3">
                  <c:v>0</c:v>
                </c:pt>
                <c:pt idx="4">
                  <c:v>0</c:v>
                </c:pt>
                <c:pt idx="5">
                  <c:v>0</c:v>
                </c:pt>
                <c:pt idx="6">
                  <c:v>0</c:v>
                </c:pt>
              </c:numCache>
            </c:numRef>
          </c:val>
        </c:ser>
        <c:overlap val="100"/>
        <c:gapWidth val="100"/>
        <c:axId val="52147559"/>
        <c:axId val="66674848"/>
      </c:barChart>
      <c:catAx>
        <c:axId val="5214755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6674848"/>
        <c:crossesAt val="0"/>
        <c:auto val="1"/>
        <c:lblOffset val="100"/>
        <c:noMultiLvlLbl val="0"/>
      </c:catAx>
      <c:valAx>
        <c:axId val="66674848"/>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52147559"/>
        <c:crossesAt val="1"/>
        <c:crossBetween val="between"/>
        <c:dispUnits/>
      </c:valAx>
      <c:spPr>
        <a:noFill/>
        <a:ln>
          <a:noFill/>
        </a:ln>
      </c:spPr>
    </c:plotArea>
    <c:legend>
      <c:legendPos val="r"/>
      <c:layout>
        <c:manualLayout>
          <c:xMode val="edge"/>
          <c:yMode val="edge"/>
          <c:x val="0.11075"/>
          <c:y val="0.963"/>
          <c:w val="0.83925"/>
          <c:h val="0.037"/>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75"/>
          <c:y val="0.141"/>
          <c:w val="0.94675"/>
          <c:h val="0.7867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Kader!$AD$89:$AJ$89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Kader!$AD$98:$AJ$98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Kader!$AD$107:$AJ$107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Kader!$AD$108:$AJ$108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Kader!$AD$109:$AJ$109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Kader!$AD$110:$AJ$110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Kader!$AD$111:$AJ$111</c:f>
              <c:numCache>
                <c:ptCount val="7"/>
                <c:pt idx="0">
                  <c:v>0</c:v>
                </c:pt>
                <c:pt idx="1">
                  <c:v>0</c:v>
                </c:pt>
                <c:pt idx="2">
                  <c:v>0</c:v>
                </c:pt>
                <c:pt idx="3">
                  <c:v>0</c:v>
                </c:pt>
                <c:pt idx="4">
                  <c:v>0</c:v>
                </c:pt>
                <c:pt idx="5">
                  <c:v>0</c:v>
                </c:pt>
                <c:pt idx="6">
                  <c:v>0</c:v>
                </c:pt>
              </c:numCache>
            </c:numRef>
          </c:val>
        </c:ser>
        <c:overlap val="100"/>
        <c:gapWidth val="100"/>
        <c:axId val="63202721"/>
        <c:axId val="31953578"/>
      </c:barChart>
      <c:catAx>
        <c:axId val="6320272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1953578"/>
        <c:crossesAt val="0"/>
        <c:auto val="1"/>
        <c:lblOffset val="100"/>
        <c:noMultiLvlLbl val="0"/>
      </c:catAx>
      <c:valAx>
        <c:axId val="31953578"/>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3202721"/>
        <c:crossesAt val="1"/>
        <c:crossBetween val="between"/>
        <c:dispUnits/>
      </c:valAx>
      <c:spPr>
        <a:noFill/>
        <a:ln>
          <a:noFill/>
        </a:ln>
      </c:spPr>
    </c:plotArea>
    <c:legend>
      <c:legendPos val="r"/>
      <c:layout>
        <c:manualLayout>
          <c:xMode val="edge"/>
          <c:yMode val="edge"/>
          <c:x val="0.114"/>
          <c:y val="0.96325"/>
          <c:w val="0.83625"/>
          <c:h val="0.0367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75"/>
          <c:y val="0.141"/>
          <c:w val="0.9465"/>
          <c:h val="0.7867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Kader!$AK$89:$AQ$89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Kader!$AK$98:$AQ$98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Kader!$AK$107:$AQ$107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Kader!$AK$108:$AQ$108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Kader!$AK$109:$AQ$109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Kader!$AK$110:$AQ$110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Kader!$AK$111:$AQ$111</c:f>
              <c:numCache>
                <c:ptCount val="7"/>
                <c:pt idx="0">
                  <c:v>0</c:v>
                </c:pt>
                <c:pt idx="1">
                  <c:v>0</c:v>
                </c:pt>
                <c:pt idx="2">
                  <c:v>0</c:v>
                </c:pt>
                <c:pt idx="3">
                  <c:v>0</c:v>
                </c:pt>
                <c:pt idx="4">
                  <c:v>0</c:v>
                </c:pt>
                <c:pt idx="5">
                  <c:v>0</c:v>
                </c:pt>
                <c:pt idx="6">
                  <c:v>0</c:v>
                </c:pt>
              </c:numCache>
            </c:numRef>
          </c:val>
        </c:ser>
        <c:overlap val="100"/>
        <c:gapWidth val="100"/>
        <c:axId val="19146747"/>
        <c:axId val="38102996"/>
      </c:barChart>
      <c:catAx>
        <c:axId val="1914674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8102996"/>
        <c:crossesAt val="0"/>
        <c:auto val="1"/>
        <c:lblOffset val="100"/>
        <c:noMultiLvlLbl val="0"/>
      </c:catAx>
      <c:valAx>
        <c:axId val="38102996"/>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19146747"/>
        <c:crossesAt val="1"/>
        <c:crossBetween val="between"/>
        <c:dispUnits/>
      </c:valAx>
      <c:spPr>
        <a:noFill/>
        <a:ln>
          <a:noFill/>
        </a:ln>
      </c:spPr>
    </c:plotArea>
    <c:legend>
      <c:legendPos val="r"/>
      <c:layout>
        <c:manualLayout>
          <c:xMode val="edge"/>
          <c:yMode val="edge"/>
          <c:x val="0.11025"/>
          <c:y val="0.96325"/>
          <c:w val="0.83625"/>
          <c:h val="0.0367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75"/>
          <c:y val="0.13975"/>
          <c:w val="0.9465"/>
          <c:h val="0.788"/>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Kader!$AR$89:$AX$89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Kader!$AR$98:$AX$98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Kader!$AR$107:$AX$107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Kader!$AR$108:$AX$108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Kader!$AR$109:$AX$109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Kader!$AR$110:$AX$110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Kader!$AR$111:$AX$111</c:f>
              <c:numCache>
                <c:ptCount val="7"/>
                <c:pt idx="0">
                  <c:v>0</c:v>
                </c:pt>
                <c:pt idx="1">
                  <c:v>0</c:v>
                </c:pt>
                <c:pt idx="2">
                  <c:v>0</c:v>
                </c:pt>
                <c:pt idx="3">
                  <c:v>0</c:v>
                </c:pt>
                <c:pt idx="4">
                  <c:v>0</c:v>
                </c:pt>
                <c:pt idx="5">
                  <c:v>0</c:v>
                </c:pt>
                <c:pt idx="6">
                  <c:v>0</c:v>
                </c:pt>
              </c:numCache>
            </c:numRef>
          </c:val>
        </c:ser>
        <c:overlap val="100"/>
        <c:gapWidth val="100"/>
        <c:axId val="7382645"/>
        <c:axId val="66443806"/>
      </c:barChart>
      <c:catAx>
        <c:axId val="738264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6443806"/>
        <c:crossesAt val="0"/>
        <c:auto val="1"/>
        <c:lblOffset val="100"/>
        <c:noMultiLvlLbl val="0"/>
      </c:catAx>
      <c:valAx>
        <c:axId val="66443806"/>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7382645"/>
        <c:crossesAt val="1"/>
        <c:crossBetween val="between"/>
        <c:dispUnits/>
      </c:valAx>
      <c:spPr>
        <a:noFill/>
        <a:ln>
          <a:noFill/>
        </a:ln>
      </c:spPr>
    </c:plotArea>
    <c:legend>
      <c:legendPos val="r"/>
      <c:layout>
        <c:manualLayout>
          <c:xMode val="edge"/>
          <c:yMode val="edge"/>
          <c:x val="0.11025"/>
          <c:y val="0.96325"/>
          <c:w val="0.83625"/>
          <c:h val="0.0367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0000"/>
                </a:solidFill>
              </a:rPr>
              <a:t>Ø</a:t>
            </a:r>
            <a:r>
              <a:rPr lang="en-US" cap="none" sz="1000" b="1" i="0" u="none" baseline="0">
                <a:solidFill>
                  <a:srgbClr val="FF0000"/>
                </a:solidFill>
              </a:rPr>
              <a:t> Ist</a:t>
            </a:r>
            <a:r>
              <a:rPr lang="en-US" cap="none" sz="1000" b="0" i="0" u="none" baseline="0">
                <a:solidFill>
                  <a:srgbClr val="000000"/>
                </a:solidFill>
              </a:rPr>
              <a:t>-</a:t>
            </a:r>
            <a:r>
              <a:rPr lang="en-US" cap="none" sz="1000" b="1" i="0" u="none" baseline="0">
                <a:solidFill>
                  <a:srgbClr val="000000"/>
                </a:solidFill>
              </a:rPr>
              <a:t>Wochenumfänge</a:t>
            </a:r>
            <a:r>
              <a:rPr lang="en-US" cap="none" sz="1000" b="0" i="0" u="none" baseline="0">
                <a:solidFill>
                  <a:srgbClr val="000000"/>
                </a:solidFill>
              </a:rPr>
              <a:t> in </a:t>
            </a:r>
            <a:r>
              <a:rPr lang="en-US" cap="none" sz="1000" b="1" i="0" u="none" baseline="0">
                <a:solidFill>
                  <a:srgbClr val="000000"/>
                </a:solidFill>
              </a:rPr>
              <a:t>km</a:t>
            </a:r>
            <a:r>
              <a:rPr lang="en-US" cap="none" sz="1000" b="0" i="0" u="none" baseline="0">
                <a:solidFill>
                  <a:srgbClr val="000000"/>
                </a:solidFill>
              </a:rPr>
              <a:t>  </a:t>
            </a:r>
            <a:r>
              <a:rPr lang="en-US" cap="none" sz="800" b="0" i="0" u="none" baseline="0">
                <a:solidFill>
                  <a:srgbClr val="000000"/>
                </a:solidFill>
              </a:rPr>
              <a:t>Nov 20 - Okt 21</a:t>
            </a:r>
            <a:r>
              <a:rPr lang="en-US" cap="none" sz="1000" b="0" i="0" u="none" baseline="0">
                <a:solidFill>
                  <a:srgbClr val="000000"/>
                </a:solidFill>
              </a:rPr>
              <a:t>                                         
Schwimmen </a:t>
            </a:r>
            <a:r>
              <a:rPr lang="en-US" cap="none" sz="800" b="0" i="0" u="none" baseline="0">
                <a:solidFill>
                  <a:srgbClr val="000000"/>
                </a:solidFill>
              </a:rPr>
              <a:t>blau</a:t>
            </a:r>
            <a:r>
              <a:rPr lang="en-US" cap="none" sz="1000" b="0" i="0" u="none" baseline="0">
                <a:solidFill>
                  <a:srgbClr val="000000"/>
                </a:solidFill>
              </a:rPr>
              <a:t> - Radfahren </a:t>
            </a:r>
            <a:r>
              <a:rPr lang="en-US" cap="none" sz="800" b="0" i="0" u="none" baseline="0">
                <a:solidFill>
                  <a:srgbClr val="000000"/>
                </a:solidFill>
              </a:rPr>
              <a:t>gelb</a:t>
            </a:r>
            <a:r>
              <a:rPr lang="en-US" cap="none" sz="1000" b="0" i="0" u="none" baseline="0">
                <a:solidFill>
                  <a:srgbClr val="000000"/>
                </a:solidFill>
              </a:rPr>
              <a:t> - Laufen </a:t>
            </a:r>
            <a:r>
              <a:rPr lang="en-US" cap="none" sz="800" b="0" i="0" u="none" baseline="0">
                <a:solidFill>
                  <a:srgbClr val="000000"/>
                </a:solidFill>
              </a:rPr>
              <a:t>grün</a:t>
            </a:r>
          </a:p>
        </c:rich>
      </c:tx>
      <c:layout>
        <c:manualLayout>
          <c:xMode val="factor"/>
          <c:yMode val="factor"/>
          <c:x val="0.00325"/>
          <c:y val="0"/>
        </c:manualLayout>
      </c:layout>
      <c:spPr>
        <a:noFill/>
        <a:ln>
          <a:noFill/>
        </a:ln>
      </c:spPr>
    </c:title>
    <c:view3D>
      <c:rotX val="15"/>
      <c:hPercent val="100"/>
      <c:rotY val="0"/>
      <c:depthPercent val="100"/>
      <c:rAngAx val="1"/>
    </c:view3D>
    <c:plotArea>
      <c:layout>
        <c:manualLayout>
          <c:xMode val="edge"/>
          <c:yMode val="edge"/>
          <c:x val="0.178"/>
          <c:y val="0.33025"/>
          <c:w val="0.64175"/>
          <c:h val="0.5005"/>
        </c:manualLayout>
      </c:layout>
      <c:pie3DChart>
        <c:varyColors val="1"/>
        <c:ser>
          <c:idx val="0"/>
          <c:order val="0"/>
          <c:tx>
            <c:v>Ist-Umfang pro Woche</c:v>
          </c:tx>
          <c:spPr>
            <a:solidFill>
              <a:srgbClr val="9999FF"/>
            </a:solidFill>
            <a:ln w="3175">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3175">
                <a:solidFill>
                  <a:srgbClr val="000000"/>
                </a:solidFill>
              </a:ln>
            </c:spPr>
          </c:dPt>
          <c:dPt>
            <c:idx val="1"/>
            <c:spPr>
              <a:solidFill>
                <a:srgbClr val="FFFF99"/>
              </a:solidFill>
              <a:ln w="3175">
                <a:solidFill>
                  <a:srgbClr val="000000"/>
                </a:solidFill>
              </a:ln>
            </c:spPr>
          </c:dPt>
          <c:dPt>
            <c:idx val="2"/>
            <c:spPr>
              <a:solidFill>
                <a:srgbClr val="339966"/>
              </a:solidFill>
              <a:ln w="3175">
                <a:solidFill>
                  <a:srgbClr val="000000"/>
                </a:solid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975" b="0" i="0" u="none" baseline="0">
                    <a:solidFill>
                      <a:srgbClr val="000000"/>
                    </a:solidFill>
                  </a:defRPr>
                </a:pPr>
              </a:p>
            </c:txPr>
            <c:showLegendKey val="0"/>
            <c:showVal val="1"/>
            <c:showBubbleSize val="0"/>
            <c:showCatName val="0"/>
            <c:showSerName val="0"/>
            <c:showLeaderLines val="0"/>
            <c:showPercent val="0"/>
          </c:dLbls>
          <c:val>
            <c:numRef>
              <c:f>Vergleich!$C$4:$C$6</c:f>
              <c:numCache>
                <c:ptCount val="3"/>
                <c:pt idx="0">
                  <c:v>0.044230769230769226</c:v>
                </c:pt>
                <c:pt idx="1">
                  <c:v>0.926923076923077</c:v>
                </c:pt>
                <c:pt idx="2">
                  <c:v>0.15</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5"/>
          <c:y val="0.1395"/>
          <c:w val="0.94675"/>
          <c:h val="0.789"/>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Kader!$AY$89:$BE$89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Kader!$AY$98:$BE$98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Kader!$AY$107:$BE$107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Kader!$AY$108:$BE$108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Kader!$AY$109:$BE$109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Kader!$AY$110:$BE$110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Kader!$AY$111:$BE$111</c:f>
              <c:numCache>
                <c:ptCount val="7"/>
                <c:pt idx="0">
                  <c:v>0</c:v>
                </c:pt>
                <c:pt idx="1">
                  <c:v>0</c:v>
                </c:pt>
                <c:pt idx="2">
                  <c:v>0</c:v>
                </c:pt>
                <c:pt idx="3">
                  <c:v>0</c:v>
                </c:pt>
                <c:pt idx="4">
                  <c:v>0</c:v>
                </c:pt>
                <c:pt idx="5">
                  <c:v>0</c:v>
                </c:pt>
                <c:pt idx="6">
                  <c:v>0</c:v>
                </c:pt>
              </c:numCache>
            </c:numRef>
          </c:val>
        </c:ser>
        <c:overlap val="100"/>
        <c:gapWidth val="100"/>
        <c:axId val="61123343"/>
        <c:axId val="13239176"/>
      </c:barChart>
      <c:catAx>
        <c:axId val="611233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13239176"/>
        <c:crossesAt val="0"/>
        <c:auto val="1"/>
        <c:lblOffset val="100"/>
        <c:noMultiLvlLbl val="0"/>
      </c:catAx>
      <c:valAx>
        <c:axId val="13239176"/>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1123343"/>
        <c:crossesAt val="1"/>
        <c:crossBetween val="between"/>
        <c:dispUnits/>
      </c:valAx>
      <c:spPr>
        <a:noFill/>
        <a:ln>
          <a:noFill/>
        </a:ln>
      </c:spPr>
    </c:plotArea>
    <c:legend>
      <c:legendPos val="r"/>
      <c:layout>
        <c:manualLayout>
          <c:xMode val="edge"/>
          <c:yMode val="edge"/>
          <c:x val="0.11"/>
          <c:y val="0.96325"/>
          <c:w val="0.83325"/>
          <c:h val="0.0367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5"/>
          <c:y val="0.1405"/>
          <c:w val="0.947"/>
          <c:h val="0.789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Kader!$BF$89:$BL$89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Kader!$BF$98:$BL$98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Kader!$BF$107:$BL$107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Kader!$BF$108:$BL$108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Kader!$BF$109:$BL$109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Kader!$BF$110:$BL$110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Kader!$BF$111:$BL$111</c:f>
              <c:numCache>
                <c:ptCount val="7"/>
                <c:pt idx="0">
                  <c:v>0</c:v>
                </c:pt>
                <c:pt idx="1">
                  <c:v>0</c:v>
                </c:pt>
                <c:pt idx="2">
                  <c:v>0</c:v>
                </c:pt>
                <c:pt idx="3">
                  <c:v>0</c:v>
                </c:pt>
                <c:pt idx="4">
                  <c:v>0</c:v>
                </c:pt>
                <c:pt idx="5">
                  <c:v>0</c:v>
                </c:pt>
                <c:pt idx="6">
                  <c:v>0</c:v>
                </c:pt>
              </c:numCache>
            </c:numRef>
          </c:val>
        </c:ser>
        <c:overlap val="100"/>
        <c:gapWidth val="100"/>
        <c:axId val="52043721"/>
        <c:axId val="65740306"/>
      </c:barChart>
      <c:catAx>
        <c:axId val="5204372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5740306"/>
        <c:crossesAt val="0"/>
        <c:auto val="1"/>
        <c:lblOffset val="100"/>
        <c:noMultiLvlLbl val="0"/>
      </c:catAx>
      <c:valAx>
        <c:axId val="65740306"/>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52043721"/>
        <c:crossesAt val="1"/>
        <c:crossBetween val="between"/>
        <c:dispUnits/>
      </c:valAx>
      <c:spPr>
        <a:noFill/>
        <a:ln>
          <a:noFill/>
        </a:ln>
      </c:spPr>
    </c:plotArea>
    <c:legend>
      <c:legendPos val="r"/>
      <c:layout>
        <c:manualLayout>
          <c:xMode val="edge"/>
          <c:yMode val="edge"/>
          <c:x val="0.113"/>
          <c:y val="0.9635"/>
          <c:w val="0.8305"/>
          <c:h val="0.036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5"/>
          <c:y val="0.1405"/>
          <c:w val="0.94725"/>
          <c:h val="0.789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Kader!$BM$89:$BS$89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Kader!$BM$98:$BS$98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Kader!$BM$107:$BS$107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Kader!$BM$108:$BM$108</c:f>
              <c:numCache>
                <c:ptCount val="1"/>
                <c:pt idx="0">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Kader!$BM$109:$BS$109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Kader!$BM$110:$BS$110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Kader!$BM$111:$BS$111</c:f>
              <c:numCache>
                <c:ptCount val="7"/>
                <c:pt idx="0">
                  <c:v>0</c:v>
                </c:pt>
                <c:pt idx="1">
                  <c:v>0</c:v>
                </c:pt>
                <c:pt idx="2">
                  <c:v>0</c:v>
                </c:pt>
                <c:pt idx="3">
                  <c:v>0</c:v>
                </c:pt>
                <c:pt idx="4">
                  <c:v>0</c:v>
                </c:pt>
                <c:pt idx="5">
                  <c:v>0</c:v>
                </c:pt>
                <c:pt idx="6">
                  <c:v>0</c:v>
                </c:pt>
              </c:numCache>
            </c:numRef>
          </c:val>
        </c:ser>
        <c:overlap val="100"/>
        <c:gapWidth val="100"/>
        <c:axId val="54791843"/>
        <c:axId val="23364540"/>
      </c:barChart>
      <c:catAx>
        <c:axId val="547918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23364540"/>
        <c:crossesAt val="0"/>
        <c:auto val="1"/>
        <c:lblOffset val="100"/>
        <c:noMultiLvlLbl val="0"/>
      </c:catAx>
      <c:valAx>
        <c:axId val="23364540"/>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54791843"/>
        <c:crossesAt val="1"/>
        <c:crossBetween val="between"/>
        <c:dispUnits/>
      </c:valAx>
      <c:spPr>
        <a:noFill/>
        <a:ln>
          <a:noFill/>
        </a:ln>
      </c:spPr>
    </c:plotArea>
    <c:legend>
      <c:legendPos val="r"/>
      <c:layout>
        <c:manualLayout>
          <c:xMode val="edge"/>
          <c:yMode val="edge"/>
          <c:x val="0.11975"/>
          <c:y val="0.9635"/>
          <c:w val="0.8275"/>
          <c:h val="0.036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25"/>
          <c:y val="0.139"/>
          <c:w val="0.9475"/>
          <c:h val="0.7897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Kader!$BT$89:$BZ$89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Kader!$BT$98:$BZ$98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Kader!$BT$107:$BZ$107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Kader!$BT$108:$BZ$108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Kader!$BT$109:$BZ$109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Kader!$BT$110:$BZ$110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Kader!$BT$111:$BZ$111</c:f>
              <c:numCache>
                <c:ptCount val="7"/>
                <c:pt idx="0">
                  <c:v>0</c:v>
                </c:pt>
                <c:pt idx="1">
                  <c:v>0</c:v>
                </c:pt>
                <c:pt idx="2">
                  <c:v>0</c:v>
                </c:pt>
                <c:pt idx="3">
                  <c:v>0</c:v>
                </c:pt>
                <c:pt idx="4">
                  <c:v>0</c:v>
                </c:pt>
                <c:pt idx="5">
                  <c:v>0</c:v>
                </c:pt>
                <c:pt idx="6">
                  <c:v>0</c:v>
                </c:pt>
              </c:numCache>
            </c:numRef>
          </c:val>
        </c:ser>
        <c:overlap val="100"/>
        <c:gapWidth val="100"/>
        <c:axId val="8954269"/>
        <c:axId val="13479558"/>
      </c:barChart>
      <c:catAx>
        <c:axId val="895426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13479558"/>
        <c:crossesAt val="0"/>
        <c:auto val="1"/>
        <c:lblOffset val="100"/>
        <c:noMultiLvlLbl val="0"/>
      </c:catAx>
      <c:valAx>
        <c:axId val="13479558"/>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8954269"/>
        <c:crossesAt val="1"/>
        <c:crossBetween val="between"/>
        <c:dispUnits/>
      </c:valAx>
      <c:spPr>
        <a:noFill/>
        <a:ln>
          <a:noFill/>
        </a:ln>
      </c:spPr>
    </c:plotArea>
    <c:legend>
      <c:legendPos val="r"/>
      <c:layout>
        <c:manualLayout>
          <c:xMode val="edge"/>
          <c:yMode val="edge"/>
          <c:x val="0.11575"/>
          <c:y val="0.9635"/>
          <c:w val="0.8245"/>
          <c:h val="0.036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25"/>
          <c:y val="0.1385"/>
          <c:w val="0.9475"/>
          <c:h val="0.790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Kader!$CA$89:$CG$89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Kader!$CA$98:$CG$98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Kader!$CA$107:$CG$107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Kader!$CA$108:$CG$108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Kader!$CA$109:$CG$109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Kader!$CA$110:$CG$110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Kader!$CA$111:$CG$111</c:f>
              <c:numCache>
                <c:ptCount val="7"/>
                <c:pt idx="0">
                  <c:v>0</c:v>
                </c:pt>
                <c:pt idx="1">
                  <c:v>0</c:v>
                </c:pt>
                <c:pt idx="2">
                  <c:v>0</c:v>
                </c:pt>
                <c:pt idx="3">
                  <c:v>0</c:v>
                </c:pt>
                <c:pt idx="4">
                  <c:v>0</c:v>
                </c:pt>
                <c:pt idx="5">
                  <c:v>0</c:v>
                </c:pt>
                <c:pt idx="6">
                  <c:v>0</c:v>
                </c:pt>
              </c:numCache>
            </c:numRef>
          </c:val>
        </c:ser>
        <c:overlap val="100"/>
        <c:gapWidth val="100"/>
        <c:axId val="54207159"/>
        <c:axId val="18102384"/>
      </c:barChart>
      <c:catAx>
        <c:axId val="5420715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18102384"/>
        <c:crossesAt val="0"/>
        <c:auto val="1"/>
        <c:lblOffset val="100"/>
        <c:noMultiLvlLbl val="0"/>
      </c:catAx>
      <c:valAx>
        <c:axId val="18102384"/>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54207159"/>
        <c:crossesAt val="1"/>
        <c:crossBetween val="between"/>
        <c:dispUnits/>
      </c:valAx>
      <c:spPr>
        <a:noFill/>
        <a:ln>
          <a:noFill/>
        </a:ln>
      </c:spPr>
    </c:plotArea>
    <c:legend>
      <c:legendPos val="r"/>
      <c:layout>
        <c:manualLayout>
          <c:xMode val="edge"/>
          <c:yMode val="edge"/>
          <c:x val="0.11575"/>
          <c:y val="0.96375"/>
          <c:w val="0.8245"/>
          <c:h val="0.0362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25"/>
          <c:y val="0.1385"/>
          <c:w val="0.94725"/>
          <c:h val="0.790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Kader!$CH$89:$CN$89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Kader!$CH$98:$CN$98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Kader!$CH$107:$CN$107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Kader!$CH$108:$CN$108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Kader!$CH$109:$CN$109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Kader!$CH$110:$CN$110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Kader!$CH$111:$CN$111</c:f>
              <c:numCache>
                <c:ptCount val="7"/>
                <c:pt idx="0">
                  <c:v>0</c:v>
                </c:pt>
                <c:pt idx="1">
                  <c:v>0</c:v>
                </c:pt>
                <c:pt idx="2">
                  <c:v>0</c:v>
                </c:pt>
                <c:pt idx="3">
                  <c:v>0</c:v>
                </c:pt>
                <c:pt idx="4">
                  <c:v>0</c:v>
                </c:pt>
                <c:pt idx="5">
                  <c:v>0</c:v>
                </c:pt>
                <c:pt idx="6">
                  <c:v>0</c:v>
                </c:pt>
              </c:numCache>
            </c:numRef>
          </c:val>
        </c:ser>
        <c:overlap val="100"/>
        <c:gapWidth val="100"/>
        <c:axId val="28703729"/>
        <c:axId val="57006970"/>
      </c:barChart>
      <c:catAx>
        <c:axId val="2870372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57006970"/>
        <c:crossesAt val="0"/>
        <c:auto val="1"/>
        <c:lblOffset val="100"/>
        <c:noMultiLvlLbl val="0"/>
      </c:catAx>
      <c:valAx>
        <c:axId val="57006970"/>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28703729"/>
        <c:crossesAt val="1"/>
        <c:crossBetween val="between"/>
        <c:dispUnits/>
      </c:valAx>
      <c:spPr>
        <a:noFill/>
        <a:ln>
          <a:noFill/>
        </a:ln>
      </c:spPr>
    </c:plotArea>
    <c:legend>
      <c:legendPos val="r"/>
      <c:layout>
        <c:manualLayout>
          <c:xMode val="edge"/>
          <c:yMode val="edge"/>
          <c:x val="0.11575"/>
          <c:y val="0.96375"/>
          <c:w val="0.8245"/>
          <c:h val="0.0362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25"/>
          <c:y val="0.1385"/>
          <c:w val="0.9475"/>
          <c:h val="0.790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Kader!$CO$89:$CU$89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Kader!$CO$98:$CU$98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Kader!$CO$107:$CU$107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Kader!$CO$108:$CU$108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Kader!$CO$109:$CU$109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Kader!$CO$110:$CU$110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Kader!$CO$111:$CU$111</c:f>
              <c:numCache>
                <c:ptCount val="7"/>
                <c:pt idx="0">
                  <c:v>0</c:v>
                </c:pt>
                <c:pt idx="1">
                  <c:v>0</c:v>
                </c:pt>
                <c:pt idx="2">
                  <c:v>0</c:v>
                </c:pt>
                <c:pt idx="3">
                  <c:v>0</c:v>
                </c:pt>
                <c:pt idx="4">
                  <c:v>0</c:v>
                </c:pt>
                <c:pt idx="5">
                  <c:v>0</c:v>
                </c:pt>
                <c:pt idx="6">
                  <c:v>0</c:v>
                </c:pt>
              </c:numCache>
            </c:numRef>
          </c:val>
        </c:ser>
        <c:overlap val="100"/>
        <c:gapWidth val="100"/>
        <c:axId val="43300683"/>
        <c:axId val="54161828"/>
      </c:barChart>
      <c:catAx>
        <c:axId val="4330068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54161828"/>
        <c:crossesAt val="0"/>
        <c:auto val="1"/>
        <c:lblOffset val="100"/>
        <c:noMultiLvlLbl val="0"/>
      </c:catAx>
      <c:valAx>
        <c:axId val="54161828"/>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43300683"/>
        <c:crossesAt val="1"/>
        <c:crossBetween val="between"/>
        <c:dispUnits/>
      </c:valAx>
      <c:spPr>
        <a:noFill/>
        <a:ln>
          <a:noFill/>
        </a:ln>
      </c:spPr>
    </c:plotArea>
    <c:legend>
      <c:legendPos val="r"/>
      <c:layout>
        <c:manualLayout>
          <c:xMode val="edge"/>
          <c:yMode val="edge"/>
          <c:x val="0.1155"/>
          <c:y val="0.96375"/>
          <c:w val="0.82175"/>
          <c:h val="0.0362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6"/>
          <c:y val="0.13825"/>
          <c:w val="0.9475"/>
          <c:h val="0.79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Kader!$CV$89:$DB$89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Kader!$CV$98:$DB$98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Kader!$CV$107:$DB$107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Kader!$CV$108:$DB$108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Kader!$CV$109:$DB$109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Kader!$CV$110:$DB$110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Kader!$CV$111:$DB$111</c:f>
              <c:numCache>
                <c:ptCount val="7"/>
                <c:pt idx="0">
                  <c:v>0</c:v>
                </c:pt>
                <c:pt idx="1">
                  <c:v>0</c:v>
                </c:pt>
                <c:pt idx="2">
                  <c:v>0</c:v>
                </c:pt>
                <c:pt idx="3">
                  <c:v>0</c:v>
                </c:pt>
                <c:pt idx="4">
                  <c:v>0</c:v>
                </c:pt>
                <c:pt idx="5">
                  <c:v>0</c:v>
                </c:pt>
                <c:pt idx="6">
                  <c:v>0</c:v>
                </c:pt>
              </c:numCache>
            </c:numRef>
          </c:val>
        </c:ser>
        <c:overlap val="100"/>
        <c:gapWidth val="100"/>
        <c:axId val="17694405"/>
        <c:axId val="25031918"/>
      </c:barChart>
      <c:catAx>
        <c:axId val="1769440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25031918"/>
        <c:crossesAt val="0"/>
        <c:auto val="1"/>
        <c:lblOffset val="100"/>
        <c:noMultiLvlLbl val="0"/>
      </c:catAx>
      <c:valAx>
        <c:axId val="25031918"/>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17694405"/>
        <c:crossesAt val="1"/>
        <c:crossBetween val="between"/>
        <c:dispUnits/>
      </c:valAx>
      <c:spPr>
        <a:noFill/>
        <a:ln>
          <a:noFill/>
        </a:ln>
      </c:spPr>
    </c:plotArea>
    <c:legend>
      <c:legendPos val="r"/>
      <c:layout>
        <c:manualLayout>
          <c:xMode val="edge"/>
          <c:yMode val="edge"/>
          <c:x val="0.1185"/>
          <c:y val="0.96375"/>
          <c:w val="0.81875"/>
          <c:h val="0.0362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6"/>
          <c:y val="0.13775"/>
          <c:w val="0.9475"/>
          <c:h val="0.791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Kader!$DC$89:$DI$89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Kader!$DC$98:$DI$98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Kader!$DC$107:$DI$107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Kader!$DC$108:$DI$108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Kader!$DC$109:$DI$109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Kader!$DC$110:$DI$110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Kader!$DC$111:$DI$111</c:f>
              <c:numCache>
                <c:ptCount val="7"/>
                <c:pt idx="0">
                  <c:v>0</c:v>
                </c:pt>
                <c:pt idx="1">
                  <c:v>0</c:v>
                </c:pt>
                <c:pt idx="2">
                  <c:v>0</c:v>
                </c:pt>
                <c:pt idx="3">
                  <c:v>0</c:v>
                </c:pt>
                <c:pt idx="4">
                  <c:v>0</c:v>
                </c:pt>
                <c:pt idx="5">
                  <c:v>0</c:v>
                </c:pt>
                <c:pt idx="6">
                  <c:v>0</c:v>
                </c:pt>
              </c:numCache>
            </c:numRef>
          </c:val>
        </c:ser>
        <c:overlap val="100"/>
        <c:gapWidth val="100"/>
        <c:axId val="23960671"/>
        <c:axId val="14319448"/>
      </c:barChart>
      <c:catAx>
        <c:axId val="2396067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14319448"/>
        <c:crossesAt val="0"/>
        <c:auto val="1"/>
        <c:lblOffset val="100"/>
        <c:noMultiLvlLbl val="0"/>
      </c:catAx>
      <c:valAx>
        <c:axId val="14319448"/>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23960671"/>
        <c:crossesAt val="1"/>
        <c:crossBetween val="between"/>
        <c:dispUnits/>
      </c:valAx>
      <c:spPr>
        <a:noFill/>
        <a:ln>
          <a:noFill/>
        </a:ln>
      </c:spPr>
    </c:plotArea>
    <c:legend>
      <c:legendPos val="r"/>
      <c:layout>
        <c:manualLayout>
          <c:xMode val="edge"/>
          <c:yMode val="edge"/>
          <c:x val="0.1185"/>
          <c:y val="0.964"/>
          <c:w val="0.81875"/>
          <c:h val="0.036"/>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6"/>
          <c:y val="0.1375"/>
          <c:w val="0.948"/>
          <c:h val="0.792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Kader!$DJ$89:$DP$89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Kader!$DJ$98:$DP$98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Kader!$DJ$107:$DP$107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Kader!$DJ$108:$DP$108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Kader!$DJ$109:$DP$109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Kader!$DJ$110:$DP$110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Kader!$DJ$111:$DP$111</c:f>
              <c:numCache>
                <c:ptCount val="7"/>
                <c:pt idx="0">
                  <c:v>0</c:v>
                </c:pt>
                <c:pt idx="1">
                  <c:v>0</c:v>
                </c:pt>
                <c:pt idx="2">
                  <c:v>0</c:v>
                </c:pt>
                <c:pt idx="3">
                  <c:v>0</c:v>
                </c:pt>
                <c:pt idx="4">
                  <c:v>0</c:v>
                </c:pt>
                <c:pt idx="5">
                  <c:v>0</c:v>
                </c:pt>
                <c:pt idx="6">
                  <c:v>0</c:v>
                </c:pt>
              </c:numCache>
            </c:numRef>
          </c:val>
        </c:ser>
        <c:overlap val="100"/>
        <c:gapWidth val="100"/>
        <c:axId val="61766169"/>
        <c:axId val="19024610"/>
      </c:barChart>
      <c:catAx>
        <c:axId val="6176616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19024610"/>
        <c:crossesAt val="0"/>
        <c:auto val="1"/>
        <c:lblOffset val="100"/>
        <c:noMultiLvlLbl val="0"/>
      </c:catAx>
      <c:valAx>
        <c:axId val="19024610"/>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1766169"/>
        <c:crossesAt val="1"/>
        <c:crossBetween val="between"/>
        <c:dispUnits/>
      </c:valAx>
      <c:spPr>
        <a:noFill/>
        <a:ln>
          <a:noFill/>
        </a:ln>
      </c:spPr>
    </c:plotArea>
    <c:legend>
      <c:legendPos val="r"/>
      <c:layout>
        <c:manualLayout>
          <c:xMode val="edge"/>
          <c:yMode val="edge"/>
          <c:x val="0.118"/>
          <c:y val="0.964"/>
          <c:w val="0.816"/>
          <c:h val="0.036"/>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solidFill>
                  <a:srgbClr val="FF0000"/>
                </a:solidFill>
              </a:rPr>
              <a:t> </a:t>
            </a:r>
            <a:r>
              <a:rPr lang="en-US" cap="none" sz="825" b="0" i="0" u="none" baseline="0">
                <a:solidFill>
                  <a:srgbClr val="000000"/>
                </a:solidFill>
              </a:rPr>
              <a:t>Ø</a:t>
            </a:r>
            <a:r>
              <a:rPr lang="en-US" cap="none" sz="1025" b="1" i="0" u="none" baseline="0">
                <a:solidFill>
                  <a:srgbClr val="FF0000"/>
                </a:solidFill>
              </a:rPr>
              <a:t> </a:t>
            </a:r>
            <a:r>
              <a:rPr lang="en-US" cap="none" sz="1000" b="1" i="0" u="none" baseline="0">
                <a:solidFill>
                  <a:srgbClr val="FF0000"/>
                </a:solidFill>
              </a:rPr>
              <a:t>Ist </a:t>
            </a:r>
            <a:r>
              <a:rPr lang="en-US" cap="none" sz="1000" b="1" i="0" u="none" baseline="0">
                <a:solidFill>
                  <a:srgbClr val="000000"/>
                </a:solidFill>
              </a:rPr>
              <a:t>-</a:t>
            </a:r>
            <a:r>
              <a:rPr lang="en-US" cap="none" sz="1025" b="1" i="0" u="none" baseline="0">
                <a:solidFill>
                  <a:srgbClr val="000000"/>
                </a:solidFill>
              </a:rPr>
              <a:t> </a:t>
            </a:r>
            <a:r>
              <a:rPr lang="en-US" cap="none" sz="1000" b="1" i="0" u="none" baseline="0">
                <a:solidFill>
                  <a:srgbClr val="000000"/>
                </a:solidFill>
              </a:rPr>
              <a:t>Wochenumfänge </a:t>
            </a:r>
            <a:r>
              <a:rPr lang="en-US" cap="none" sz="800" b="0" i="0" u="none" baseline="0">
                <a:solidFill>
                  <a:srgbClr val="000000"/>
                </a:solidFill>
              </a:rPr>
              <a:t>Vergleich  Nov 19 - Okt 20</a:t>
            </a:r>
            <a:r>
              <a:rPr lang="en-US" cap="none" sz="1025" b="1" i="0" u="none" baseline="0">
                <a:solidFill>
                  <a:srgbClr val="000000"/>
                </a:solidFill>
              </a:rPr>
              <a:t>
</a:t>
            </a:r>
            <a:r>
              <a:rPr lang="en-US" cap="none" sz="1000" b="0" i="0" u="none" baseline="0">
                <a:solidFill>
                  <a:srgbClr val="000000"/>
                </a:solidFill>
              </a:rPr>
              <a:t>Schwimmen </a:t>
            </a:r>
            <a:r>
              <a:rPr lang="en-US" cap="none" sz="800" b="0" i="0" u="none" baseline="0">
                <a:solidFill>
                  <a:srgbClr val="000000"/>
                </a:solidFill>
              </a:rPr>
              <a:t>blau</a:t>
            </a:r>
            <a:r>
              <a:rPr lang="en-US" cap="none" sz="1000" b="0" i="0" u="none" baseline="0">
                <a:solidFill>
                  <a:srgbClr val="000000"/>
                </a:solidFill>
              </a:rPr>
              <a:t> - Radfahren </a:t>
            </a:r>
            <a:r>
              <a:rPr lang="en-US" cap="none" sz="800" b="0" i="0" u="none" baseline="0">
                <a:solidFill>
                  <a:srgbClr val="000000"/>
                </a:solidFill>
              </a:rPr>
              <a:t>gelb</a:t>
            </a:r>
            <a:r>
              <a:rPr lang="en-US" cap="none" sz="1000" b="0" i="0" u="none" baseline="0">
                <a:solidFill>
                  <a:srgbClr val="000000"/>
                </a:solidFill>
              </a:rPr>
              <a:t> - Laufen </a:t>
            </a:r>
            <a:r>
              <a:rPr lang="en-US" cap="none" sz="800" b="0" i="0" u="none" baseline="0">
                <a:solidFill>
                  <a:srgbClr val="000000"/>
                </a:solidFill>
              </a:rPr>
              <a:t>grün</a:t>
            </a:r>
          </a:p>
        </c:rich>
      </c:tx>
      <c:layout>
        <c:manualLayout>
          <c:xMode val="factor"/>
          <c:yMode val="factor"/>
          <c:x val="-0.0015"/>
          <c:y val="0"/>
        </c:manualLayout>
      </c:layout>
      <c:spPr>
        <a:noFill/>
        <a:ln>
          <a:noFill/>
        </a:ln>
      </c:spPr>
    </c:title>
    <c:plotArea>
      <c:layout>
        <c:manualLayout>
          <c:xMode val="edge"/>
          <c:yMode val="edge"/>
          <c:x val="0.06975"/>
          <c:y val="0.11825"/>
          <c:w val="0.914"/>
          <c:h val="0.8355"/>
        </c:manualLayout>
      </c:layout>
      <c:barChart>
        <c:barDir val="col"/>
        <c:grouping val="clustered"/>
        <c:varyColors val="0"/>
        <c:ser>
          <c:idx val="0"/>
          <c:order val="0"/>
          <c:tx>
            <c:v>Schwimmen aktuell</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Jahresübersicht!$B$2:$B$7</c:f>
              <c:numCache>
                <c:ptCount val="6"/>
                <c:pt idx="0">
                  <c:v>0</c:v>
                </c:pt>
                <c:pt idx="1">
                  <c:v>0</c:v>
                </c:pt>
                <c:pt idx="2">
                  <c:v>0</c:v>
                </c:pt>
                <c:pt idx="3">
                  <c:v>0</c:v>
                </c:pt>
                <c:pt idx="4">
                  <c:v>0</c:v>
                </c:pt>
                <c:pt idx="5">
                  <c:v>0</c:v>
                </c:pt>
              </c:numCache>
            </c:numRef>
          </c:val>
        </c:ser>
        <c:ser>
          <c:idx val="1"/>
          <c:order val="1"/>
          <c:tx>
            <c:v>Schwimmen Vorjahr</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'[2]Jahresübersicht'!$B$2:$B$7</c:f>
              <c:numCache>
                <c:ptCount val="6"/>
                <c:pt idx="0">
                  <c:v>0</c:v>
                </c:pt>
                <c:pt idx="1">
                  <c:v>1.9249999999999998</c:v>
                </c:pt>
                <c:pt idx="2">
                  <c:v>0.5</c:v>
                </c:pt>
                <c:pt idx="3">
                  <c:v>1.25</c:v>
                </c:pt>
                <c:pt idx="4">
                  <c:v>2.9124999999999996</c:v>
                </c:pt>
                <c:pt idx="5">
                  <c:v>2.45</c:v>
                </c:pt>
              </c:numCache>
            </c:numRef>
          </c:val>
        </c:ser>
        <c:ser>
          <c:idx val="2"/>
          <c:order val="2"/>
          <c:tx>
            <c:v>Rad aktuell</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Jahresübersicht!$C$2:$C$7</c:f>
              <c:numCache>
                <c:ptCount val="6"/>
                <c:pt idx="0">
                  <c:v>0</c:v>
                </c:pt>
                <c:pt idx="1">
                  <c:v>0</c:v>
                </c:pt>
                <c:pt idx="2">
                  <c:v>0</c:v>
                </c:pt>
                <c:pt idx="3">
                  <c:v>0</c:v>
                </c:pt>
                <c:pt idx="4">
                  <c:v>0</c:v>
                </c:pt>
                <c:pt idx="5">
                  <c:v>0</c:v>
                </c:pt>
              </c:numCache>
            </c:numRef>
          </c:val>
        </c:ser>
        <c:ser>
          <c:idx val="3"/>
          <c:order val="3"/>
          <c:tx>
            <c:v>Rad Vorjahr</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'[2]Jahresübersicht'!$C$2:$C$7</c:f>
              <c:numCache>
                <c:ptCount val="6"/>
                <c:pt idx="0">
                  <c:v>31.5</c:v>
                </c:pt>
                <c:pt idx="1">
                  <c:v>112</c:v>
                </c:pt>
                <c:pt idx="2">
                  <c:v>108.5</c:v>
                </c:pt>
                <c:pt idx="3">
                  <c:v>80.5</c:v>
                </c:pt>
                <c:pt idx="4">
                  <c:v>102.5</c:v>
                </c:pt>
                <c:pt idx="5">
                  <c:v>108.5</c:v>
                </c:pt>
              </c:numCache>
            </c:numRef>
          </c:val>
        </c:ser>
        <c:ser>
          <c:idx val="4"/>
          <c:order val="4"/>
          <c:tx>
            <c:v>Laufen aktuell</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Jahresübersicht!$D$2:$D$7</c:f>
              <c:numCache>
                <c:ptCount val="6"/>
                <c:pt idx="0">
                  <c:v>0</c:v>
                </c:pt>
                <c:pt idx="1">
                  <c:v>0</c:v>
                </c:pt>
                <c:pt idx="2">
                  <c:v>0</c:v>
                </c:pt>
                <c:pt idx="3">
                  <c:v>0</c:v>
                </c:pt>
                <c:pt idx="4">
                  <c:v>0</c:v>
                </c:pt>
                <c:pt idx="5">
                  <c:v>0</c:v>
                </c:pt>
              </c:numCache>
            </c:numRef>
          </c:val>
        </c:ser>
        <c:ser>
          <c:idx val="5"/>
          <c:order val="5"/>
          <c:tx>
            <c:v>Laufen Vorjahr</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'[2]Jahresübersicht'!$D$2:$D$7</c:f>
              <c:numCache>
                <c:ptCount val="6"/>
                <c:pt idx="0">
                  <c:v>11.975000000000003</c:v>
                </c:pt>
                <c:pt idx="1">
                  <c:v>4.95</c:v>
                </c:pt>
                <c:pt idx="2">
                  <c:v>13.012500000000001</c:v>
                </c:pt>
                <c:pt idx="3">
                  <c:v>7.424999999999999</c:v>
                </c:pt>
                <c:pt idx="4">
                  <c:v>14.962499999999999</c:v>
                </c:pt>
                <c:pt idx="5">
                  <c:v>15.2625</c:v>
                </c:pt>
              </c:numCache>
            </c:numRef>
          </c:val>
        </c:ser>
        <c:axId val="61299809"/>
        <c:axId val="14827370"/>
      </c:barChart>
      <c:catAx>
        <c:axId val="61299809"/>
        <c:scaling>
          <c:orientation val="minMax"/>
        </c:scaling>
        <c:axPos val="b"/>
        <c:title>
          <c:tx>
            <c:rich>
              <a:bodyPr vert="horz" rot="0" anchor="ctr"/>
              <a:lstStyle/>
              <a:p>
                <a:pPr algn="ctr">
                  <a:defRPr/>
                </a:pPr>
                <a:r>
                  <a:rPr lang="en-US" cap="none" sz="825" b="0" i="0" u="none" baseline="0">
                    <a:solidFill>
                      <a:srgbClr val="000000"/>
                    </a:solidFill>
                  </a:rPr>
                  <a:t>Nov-Dez        Jan-Feb        März-April       Mai-Juni         Juli-Aug       Sept-Okt</a:t>
                </a:r>
              </a:p>
            </c:rich>
          </c:tx>
          <c:layout>
            <c:manualLayout>
              <c:xMode val="factor"/>
              <c:yMode val="factor"/>
              <c:x val="-0.0032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14827370"/>
        <c:crossesAt val="0"/>
        <c:auto val="1"/>
        <c:lblOffset val="100"/>
        <c:noMultiLvlLbl val="0"/>
      </c:catAx>
      <c:valAx>
        <c:axId val="14827370"/>
        <c:scaling>
          <c:orientation val="minMax"/>
          <c:max val="180"/>
          <c:min val="0"/>
        </c:scaling>
        <c:axPos val="l"/>
        <c:title>
          <c:tx>
            <c:rich>
              <a:bodyPr vert="horz" rot="0" anchor="ctr"/>
              <a:lstStyle/>
              <a:p>
                <a:pPr algn="ctr">
                  <a:defRPr/>
                </a:pPr>
                <a:r>
                  <a:rPr lang="en-US" cap="none" sz="825" b="0" i="0" u="none" baseline="0">
                    <a:solidFill>
                      <a:srgbClr val="FF0000"/>
                    </a:solidFill>
                  </a:rPr>
                  <a:t>[km]</a:t>
                </a:r>
              </a:p>
            </c:rich>
          </c:tx>
          <c:layout>
            <c:manualLayout>
              <c:xMode val="factor"/>
              <c:yMode val="factor"/>
              <c:x val="0.003"/>
              <c:y val="0.00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FF0000"/>
                </a:solidFill>
              </a:defRPr>
            </a:pPr>
          </a:p>
        </c:txPr>
        <c:crossAx val="61299809"/>
        <c:crossesAt val="1"/>
        <c:crossBetween val="between"/>
        <c:dispUnits/>
        <c:majorUnit val="20"/>
        <c:minorUnit val="1"/>
      </c:valAx>
      <c:spPr>
        <a:no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6"/>
          <c:y val="0.13725"/>
          <c:w val="0.948"/>
          <c:h val="0.793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Kader!$DQ$89:$DW$89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Kader!$DQ$98:$DW$98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Kader!$DQ$107:$DW$107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Kader!$DQ$108:$DW$108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Kader!$DQ$109:$DW$109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Kader!$DQ$110:$DW$110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Kader!$DQ$111:$DW$111</c:f>
              <c:numCache>
                <c:ptCount val="7"/>
                <c:pt idx="0">
                  <c:v>0</c:v>
                </c:pt>
                <c:pt idx="1">
                  <c:v>0</c:v>
                </c:pt>
                <c:pt idx="2">
                  <c:v>0</c:v>
                </c:pt>
                <c:pt idx="3">
                  <c:v>0</c:v>
                </c:pt>
                <c:pt idx="4">
                  <c:v>0</c:v>
                </c:pt>
                <c:pt idx="5">
                  <c:v>0</c:v>
                </c:pt>
                <c:pt idx="6">
                  <c:v>0</c:v>
                </c:pt>
              </c:numCache>
            </c:numRef>
          </c:val>
        </c:ser>
        <c:overlap val="100"/>
        <c:gapWidth val="100"/>
        <c:axId val="37003763"/>
        <c:axId val="64598412"/>
      </c:barChart>
      <c:catAx>
        <c:axId val="3700376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4598412"/>
        <c:crossesAt val="0"/>
        <c:auto val="1"/>
        <c:lblOffset val="100"/>
        <c:noMultiLvlLbl val="0"/>
      </c:catAx>
      <c:valAx>
        <c:axId val="64598412"/>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7003763"/>
        <c:crossesAt val="1"/>
        <c:crossBetween val="between"/>
        <c:dispUnits/>
      </c:valAx>
      <c:spPr>
        <a:noFill/>
        <a:ln>
          <a:noFill/>
        </a:ln>
      </c:spPr>
    </c:plotArea>
    <c:legend>
      <c:legendPos val="r"/>
      <c:layout>
        <c:manualLayout>
          <c:xMode val="edge"/>
          <c:yMode val="edge"/>
          <c:x val="0.1215"/>
          <c:y val="0.96425"/>
          <c:w val="0.816"/>
          <c:h val="0.0357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625"/>
          <c:y val="0.13725"/>
          <c:w val="0.94825"/>
          <c:h val="0.793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Kader!$DX$89:$ED$89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Kader!$DX$98:$ED$98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Kader!$DX$107:$ED$107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Kader!$DX$108:$ED$108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Kader!$DX$109:$ED$109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Kader!$DX$110:$ED$110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Kader!$DX$111:$ED$111</c:f>
              <c:numCache>
                <c:ptCount val="7"/>
                <c:pt idx="0">
                  <c:v>0</c:v>
                </c:pt>
                <c:pt idx="1">
                  <c:v>0</c:v>
                </c:pt>
                <c:pt idx="2">
                  <c:v>0</c:v>
                </c:pt>
                <c:pt idx="3">
                  <c:v>0</c:v>
                </c:pt>
                <c:pt idx="4">
                  <c:v>0</c:v>
                </c:pt>
                <c:pt idx="5">
                  <c:v>0</c:v>
                </c:pt>
                <c:pt idx="6">
                  <c:v>0</c:v>
                </c:pt>
              </c:numCache>
            </c:numRef>
          </c:val>
        </c:ser>
        <c:overlap val="100"/>
        <c:gapWidth val="100"/>
        <c:axId val="44514797"/>
        <c:axId val="65088854"/>
      </c:barChart>
      <c:catAx>
        <c:axId val="4451479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5088854"/>
        <c:crossesAt val="0"/>
        <c:auto val="1"/>
        <c:lblOffset val="100"/>
        <c:noMultiLvlLbl val="0"/>
      </c:catAx>
      <c:valAx>
        <c:axId val="65088854"/>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44514797"/>
        <c:crossesAt val="1"/>
        <c:crossBetween val="between"/>
        <c:dispUnits/>
      </c:valAx>
      <c:spPr>
        <a:noFill/>
        <a:ln>
          <a:noFill/>
        </a:ln>
      </c:spPr>
    </c:plotArea>
    <c:legend>
      <c:legendPos val="r"/>
      <c:layout>
        <c:manualLayout>
          <c:xMode val="edge"/>
          <c:yMode val="edge"/>
          <c:x val="0.1245"/>
          <c:y val="0.96425"/>
          <c:w val="0.81325"/>
          <c:h val="0.0357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575"/>
          <c:y val="0.1375"/>
          <c:w val="0.948"/>
          <c:h val="0.79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Kader!$EE$89:$EK$89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Kader!$EE$98:$EK$98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Kader!$EE$107:$EK$107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Kader!$EE$108:$EK$108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Kader!$EE$109:$EK$109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Kader!$EE$110:$EK$110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Kader!$EE$111:$EK$111</c:f>
              <c:numCache>
                <c:ptCount val="7"/>
                <c:pt idx="0">
                  <c:v>0</c:v>
                </c:pt>
                <c:pt idx="1">
                  <c:v>0</c:v>
                </c:pt>
                <c:pt idx="2">
                  <c:v>0</c:v>
                </c:pt>
                <c:pt idx="3">
                  <c:v>0</c:v>
                </c:pt>
                <c:pt idx="4">
                  <c:v>0</c:v>
                </c:pt>
                <c:pt idx="5">
                  <c:v>0</c:v>
                </c:pt>
                <c:pt idx="6">
                  <c:v>0</c:v>
                </c:pt>
              </c:numCache>
            </c:numRef>
          </c:val>
        </c:ser>
        <c:overlap val="100"/>
        <c:gapWidth val="100"/>
        <c:axId val="48928775"/>
        <c:axId val="37705792"/>
      </c:barChart>
      <c:catAx>
        <c:axId val="4892877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7705792"/>
        <c:crossesAt val="0"/>
        <c:auto val="1"/>
        <c:lblOffset val="100"/>
        <c:noMultiLvlLbl val="0"/>
      </c:catAx>
      <c:valAx>
        <c:axId val="37705792"/>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48928775"/>
        <c:crossesAt val="1"/>
        <c:crossBetween val="between"/>
        <c:dispUnits/>
      </c:valAx>
      <c:spPr>
        <a:noFill/>
        <a:ln>
          <a:noFill/>
        </a:ln>
      </c:spPr>
    </c:plotArea>
    <c:legend>
      <c:legendPos val="r"/>
      <c:layout>
        <c:manualLayout>
          <c:xMode val="edge"/>
          <c:yMode val="edge"/>
          <c:x val="0.12075"/>
          <c:y val="0.96425"/>
          <c:w val="0.81025"/>
          <c:h val="0.0357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575"/>
          <c:y val="0.13725"/>
          <c:w val="0.948"/>
          <c:h val="0.7927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Kader!$EL$89:$ER$89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Kader!$EL$98:$ER$98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Kader!$EL$107:$ER$107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Kader!$EL$108:$ER$108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Kader!$EL$109:$ER$109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Kader!$EL$110:$ER$110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Kader!$EL$111:$ER$111</c:f>
              <c:numCache>
                <c:ptCount val="7"/>
                <c:pt idx="0">
                  <c:v>0</c:v>
                </c:pt>
                <c:pt idx="1">
                  <c:v>0</c:v>
                </c:pt>
                <c:pt idx="2">
                  <c:v>0</c:v>
                </c:pt>
                <c:pt idx="3">
                  <c:v>0</c:v>
                </c:pt>
                <c:pt idx="4">
                  <c:v>0</c:v>
                </c:pt>
                <c:pt idx="5">
                  <c:v>0</c:v>
                </c:pt>
                <c:pt idx="6">
                  <c:v>0</c:v>
                </c:pt>
              </c:numCache>
            </c:numRef>
          </c:val>
        </c:ser>
        <c:overlap val="100"/>
        <c:gapWidth val="100"/>
        <c:axId val="3807809"/>
        <c:axId val="34270282"/>
      </c:barChart>
      <c:catAx>
        <c:axId val="380780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4270282"/>
        <c:crossesAt val="0"/>
        <c:auto val="1"/>
        <c:lblOffset val="100"/>
        <c:noMultiLvlLbl val="0"/>
      </c:catAx>
      <c:valAx>
        <c:axId val="34270282"/>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807809"/>
        <c:crossesAt val="1"/>
        <c:crossBetween val="between"/>
        <c:dispUnits/>
      </c:valAx>
      <c:spPr>
        <a:noFill/>
        <a:ln>
          <a:noFill/>
        </a:ln>
      </c:spPr>
    </c:plotArea>
    <c:legend>
      <c:legendPos val="r"/>
      <c:layout>
        <c:manualLayout>
          <c:xMode val="edge"/>
          <c:yMode val="edge"/>
          <c:x val="0.12075"/>
          <c:y val="0.96425"/>
          <c:w val="0.81025"/>
          <c:h val="0.0357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575"/>
          <c:y val="0.1375"/>
          <c:w val="0.94825"/>
          <c:h val="0.79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Kader!$ES$89:$EY$89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Kader!$ES$98:$EY$98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Kader!$ES$107:$EY$107</c:f>
              <c:numCache>
                <c:ptCount val="7"/>
                <c:pt idx="0">
                  <c:v>0</c:v>
                </c:pt>
                <c:pt idx="1">
                  <c:v>0</c:v>
                </c:pt>
                <c:pt idx="2">
                  <c:v>0</c:v>
                </c:pt>
                <c:pt idx="3">
                  <c:v>0</c:v>
                </c:pt>
                <c:pt idx="4">
                  <c:v>0</c:v>
                </c:pt>
                <c:pt idx="5">
                  <c:v>0</c:v>
                </c:pt>
                <c:pt idx="6">
                  <c:v>0</c:v>
                </c:pt>
              </c:numCache>
            </c:numRef>
          </c:val>
        </c:ser>
        <c:ser>
          <c:idx val="3"/>
          <c:order val="3"/>
          <c:tx>
            <c:v>Athletik</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Kader!$ES$108:$EY$108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Kader!$ES$109:$EY$109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Kader!$ES$110:$EY$110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Kader!$ES$111:$EY$111</c:f>
              <c:numCache>
                <c:ptCount val="7"/>
                <c:pt idx="0">
                  <c:v>0</c:v>
                </c:pt>
                <c:pt idx="1">
                  <c:v>0</c:v>
                </c:pt>
                <c:pt idx="2">
                  <c:v>0</c:v>
                </c:pt>
                <c:pt idx="3">
                  <c:v>0</c:v>
                </c:pt>
                <c:pt idx="4">
                  <c:v>0</c:v>
                </c:pt>
                <c:pt idx="5">
                  <c:v>0</c:v>
                </c:pt>
                <c:pt idx="6">
                  <c:v>0</c:v>
                </c:pt>
              </c:numCache>
            </c:numRef>
          </c:val>
        </c:ser>
        <c:overlap val="100"/>
        <c:gapWidth val="100"/>
        <c:axId val="39997083"/>
        <c:axId val="24429428"/>
      </c:barChart>
      <c:catAx>
        <c:axId val="3999708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24429428"/>
        <c:crossesAt val="0"/>
        <c:auto val="1"/>
        <c:lblOffset val="100"/>
        <c:noMultiLvlLbl val="0"/>
      </c:catAx>
      <c:valAx>
        <c:axId val="24429428"/>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9997083"/>
        <c:crossesAt val="1"/>
        <c:crossBetween val="between"/>
        <c:dispUnits/>
      </c:valAx>
      <c:spPr>
        <a:noFill/>
        <a:ln>
          <a:noFill/>
        </a:ln>
      </c:spPr>
    </c:plotArea>
    <c:legend>
      <c:legendPos val="r"/>
      <c:layout>
        <c:manualLayout>
          <c:xMode val="edge"/>
          <c:yMode val="edge"/>
          <c:x val="0.12025"/>
          <c:y val="0.9645"/>
          <c:w val="0.8075"/>
          <c:h val="0.035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6"/>
          <c:y val="0.1375"/>
          <c:w val="0.94825"/>
          <c:h val="0.792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Kader!$EZ$89:$FD$89</c:f>
              <c:numCache>
                <c:ptCount val="5"/>
                <c:pt idx="0">
                  <c:v>0</c:v>
                </c:pt>
                <c:pt idx="1">
                  <c:v>0</c:v>
                </c:pt>
                <c:pt idx="2">
                  <c:v>0</c:v>
                </c:pt>
                <c:pt idx="3">
                  <c:v>0</c:v>
                </c:pt>
                <c:pt idx="4">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Kader!$EZ$98:$FD$98</c:f>
              <c:numCache>
                <c:ptCount val="5"/>
                <c:pt idx="0">
                  <c:v>0</c:v>
                </c:pt>
                <c:pt idx="1">
                  <c:v>0</c:v>
                </c:pt>
                <c:pt idx="2">
                  <c:v>0</c:v>
                </c:pt>
                <c:pt idx="3">
                  <c:v>0</c:v>
                </c:pt>
                <c:pt idx="4">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Kader!$EZ$107:$FD$107</c:f>
              <c:numCache>
                <c:ptCount val="5"/>
                <c:pt idx="0">
                  <c:v>0</c:v>
                </c:pt>
                <c:pt idx="1">
                  <c:v>0</c:v>
                </c:pt>
                <c:pt idx="2">
                  <c:v>0</c:v>
                </c:pt>
                <c:pt idx="3">
                  <c:v>0</c:v>
                </c:pt>
                <c:pt idx="4">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Kader!$EZ$108:$FD$108</c:f>
              <c:numCache>
                <c:ptCount val="5"/>
                <c:pt idx="0">
                  <c:v>0</c:v>
                </c:pt>
                <c:pt idx="1">
                  <c:v>0</c:v>
                </c:pt>
                <c:pt idx="2">
                  <c:v>0</c:v>
                </c:pt>
                <c:pt idx="3">
                  <c:v>0</c:v>
                </c:pt>
                <c:pt idx="4">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Kader!$EZ$109:$FD$109</c:f>
              <c:numCache>
                <c:ptCount val="5"/>
                <c:pt idx="0">
                  <c:v>0</c:v>
                </c:pt>
                <c:pt idx="1">
                  <c:v>0</c:v>
                </c:pt>
                <c:pt idx="2">
                  <c:v>0</c:v>
                </c:pt>
                <c:pt idx="3">
                  <c:v>0</c:v>
                </c:pt>
                <c:pt idx="4">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Kader!$EZ$110:$FD$110</c:f>
              <c:numCache>
                <c:ptCount val="5"/>
                <c:pt idx="0">
                  <c:v>0</c:v>
                </c:pt>
                <c:pt idx="1">
                  <c:v>0</c:v>
                </c:pt>
                <c:pt idx="2">
                  <c:v>0</c:v>
                </c:pt>
                <c:pt idx="3">
                  <c:v>0</c:v>
                </c:pt>
                <c:pt idx="4">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Kader!$EZ$111:$FD$111</c:f>
              <c:numCache>
                <c:ptCount val="5"/>
                <c:pt idx="0">
                  <c:v>0</c:v>
                </c:pt>
                <c:pt idx="1">
                  <c:v>0</c:v>
                </c:pt>
                <c:pt idx="2">
                  <c:v>0</c:v>
                </c:pt>
                <c:pt idx="3">
                  <c:v>0</c:v>
                </c:pt>
                <c:pt idx="4">
                  <c:v>0</c:v>
                </c:pt>
              </c:numCache>
            </c:numRef>
          </c:val>
        </c:ser>
        <c:overlap val="100"/>
        <c:gapWidth val="100"/>
        <c:axId val="18538261"/>
        <c:axId val="32626622"/>
      </c:barChart>
      <c:catAx>
        <c:axId val="1853826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2626622"/>
        <c:crossesAt val="0"/>
        <c:auto val="1"/>
        <c:lblOffset val="100"/>
        <c:noMultiLvlLbl val="0"/>
      </c:catAx>
      <c:valAx>
        <c:axId val="32626622"/>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18538261"/>
        <c:crossesAt val="1"/>
        <c:crossBetween val="between"/>
        <c:dispUnits/>
      </c:valAx>
      <c:spPr>
        <a:noFill/>
        <a:ln>
          <a:noFill/>
        </a:ln>
      </c:spPr>
    </c:plotArea>
    <c:legend>
      <c:legendPos val="r"/>
      <c:layout>
        <c:manualLayout>
          <c:xMode val="edge"/>
          <c:yMode val="edge"/>
          <c:x val="0.12375"/>
          <c:y val="0.9645"/>
          <c:w val="0.8075"/>
          <c:h val="0.035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6"/>
          <c:y val="0.13825"/>
          <c:w val="0.9485"/>
          <c:h val="0.793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Kader!$FG$89:$FM$89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Kader!$FG$98:$FM$98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Kader!$FG$107:$FM$107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Kader!$FG$108:$FM$108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Kader!$FG$109:$FM$109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Kader!$FG$110:$FM$110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Kader!$FG$111:$FM$111</c:f>
              <c:numCache>
                <c:ptCount val="7"/>
                <c:pt idx="0">
                  <c:v>0</c:v>
                </c:pt>
                <c:pt idx="1">
                  <c:v>0</c:v>
                </c:pt>
                <c:pt idx="2">
                  <c:v>0</c:v>
                </c:pt>
                <c:pt idx="3">
                  <c:v>0</c:v>
                </c:pt>
                <c:pt idx="4">
                  <c:v>0</c:v>
                </c:pt>
                <c:pt idx="5">
                  <c:v>0</c:v>
                </c:pt>
                <c:pt idx="6">
                  <c:v>0</c:v>
                </c:pt>
              </c:numCache>
            </c:numRef>
          </c:val>
        </c:ser>
        <c:overlap val="100"/>
        <c:gapWidth val="100"/>
        <c:axId val="25204143"/>
        <c:axId val="25510696"/>
      </c:barChart>
      <c:catAx>
        <c:axId val="252041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25510696"/>
        <c:crossesAt val="0"/>
        <c:auto val="1"/>
        <c:lblOffset val="100"/>
        <c:noMultiLvlLbl val="0"/>
      </c:catAx>
      <c:valAx>
        <c:axId val="25510696"/>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25204143"/>
        <c:crossesAt val="1"/>
        <c:crossBetween val="between"/>
        <c:dispUnits/>
      </c:valAx>
      <c:spPr>
        <a:noFill/>
        <a:ln>
          <a:noFill/>
        </a:ln>
      </c:spPr>
    </c:plotArea>
    <c:legend>
      <c:legendPos val="r"/>
      <c:layout>
        <c:manualLayout>
          <c:xMode val="edge"/>
          <c:yMode val="edge"/>
          <c:x val="0.12325"/>
          <c:y val="0.9645"/>
          <c:w val="0.80475"/>
          <c:h val="0.035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6"/>
          <c:y val="0.138"/>
          <c:w val="0.9485"/>
          <c:h val="0.793"/>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Kader!$FN$89:$FT$89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Kader!$FT$98:$FT$98</c:f>
              <c:numCache>
                <c:ptCount val="1"/>
                <c:pt idx="0">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Kader!$FN$107:$FT$107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Kader!$FN$108:$FT$108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Kader!$FN$109:$FT$109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Kader!$FN$110:$FT$110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Kader!$FN$111:$FT$111</c:f>
              <c:numCache>
                <c:ptCount val="7"/>
                <c:pt idx="0">
                  <c:v>0</c:v>
                </c:pt>
                <c:pt idx="1">
                  <c:v>0</c:v>
                </c:pt>
                <c:pt idx="2">
                  <c:v>0</c:v>
                </c:pt>
                <c:pt idx="3">
                  <c:v>0</c:v>
                </c:pt>
                <c:pt idx="4">
                  <c:v>0</c:v>
                </c:pt>
                <c:pt idx="5">
                  <c:v>0</c:v>
                </c:pt>
                <c:pt idx="6">
                  <c:v>0</c:v>
                </c:pt>
              </c:numCache>
            </c:numRef>
          </c:val>
        </c:ser>
        <c:overlap val="100"/>
        <c:gapWidth val="100"/>
        <c:axId val="28269673"/>
        <c:axId val="53100466"/>
      </c:barChart>
      <c:catAx>
        <c:axId val="2826967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53100466"/>
        <c:crossesAt val="0"/>
        <c:auto val="1"/>
        <c:lblOffset val="100"/>
        <c:noMultiLvlLbl val="0"/>
      </c:catAx>
      <c:valAx>
        <c:axId val="53100466"/>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28269673"/>
        <c:crossesAt val="1"/>
        <c:crossBetween val="between"/>
        <c:dispUnits/>
      </c:valAx>
      <c:spPr>
        <a:noFill/>
        <a:ln>
          <a:noFill/>
        </a:ln>
      </c:spPr>
    </c:plotArea>
    <c:legend>
      <c:legendPos val="r"/>
      <c:layout>
        <c:manualLayout>
          <c:xMode val="edge"/>
          <c:yMode val="edge"/>
          <c:x val="0.12325"/>
          <c:y val="0.9645"/>
          <c:w val="0.80475"/>
          <c:h val="0.035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775"/>
          <c:y val="0"/>
        </c:manualLayout>
      </c:layout>
      <c:spPr>
        <a:noFill/>
        <a:ln>
          <a:noFill/>
        </a:ln>
      </c:spPr>
    </c:title>
    <c:plotArea>
      <c:layout>
        <c:manualLayout>
          <c:xMode val="edge"/>
          <c:yMode val="edge"/>
          <c:x val="0.0255"/>
          <c:y val="0.136"/>
          <c:w val="0.94875"/>
          <c:h val="0.795"/>
        </c:manualLayout>
      </c:layout>
      <c:barChart>
        <c:barDir val="col"/>
        <c:grouping val="stacked"/>
        <c:varyColors val="0"/>
        <c:ser>
          <c:idx val="0"/>
          <c:order val="0"/>
          <c:tx>
            <c:v>Schwimmen</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Kader!$FU$89:$GA$89</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Kader!$FU$98:$GA$98</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Kader!$FU$107:$GA$107</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Kader!$FU$108:$GA$108</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Kader!$FU$109:$GA$109</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Kader!$FU$110:$GA$110</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Kader!$FU$111:$GA$111</c:f>
              <c:numCache>
                <c:ptCount val="7"/>
                <c:pt idx="0">
                  <c:v>0</c:v>
                </c:pt>
                <c:pt idx="1">
                  <c:v>0</c:v>
                </c:pt>
                <c:pt idx="2">
                  <c:v>0</c:v>
                </c:pt>
                <c:pt idx="3">
                  <c:v>0</c:v>
                </c:pt>
                <c:pt idx="4">
                  <c:v>0</c:v>
                </c:pt>
                <c:pt idx="5">
                  <c:v>0</c:v>
                </c:pt>
                <c:pt idx="6">
                  <c:v>0</c:v>
                </c:pt>
              </c:numCache>
            </c:numRef>
          </c:val>
        </c:ser>
        <c:overlap val="100"/>
        <c:gapWidth val="100"/>
        <c:axId val="8142147"/>
        <c:axId val="6170460"/>
      </c:barChart>
      <c:catAx>
        <c:axId val="814214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170460"/>
        <c:crossesAt val="0"/>
        <c:auto val="1"/>
        <c:lblOffset val="100"/>
        <c:noMultiLvlLbl val="0"/>
      </c:catAx>
      <c:valAx>
        <c:axId val="6170460"/>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8142147"/>
        <c:crossesAt val="1"/>
        <c:crossBetween val="between"/>
        <c:dispUnits/>
      </c:valAx>
      <c:spPr>
        <a:noFill/>
        <a:ln>
          <a:noFill/>
        </a:ln>
      </c:spPr>
    </c:plotArea>
    <c:legend>
      <c:legendPos val="r"/>
      <c:layout>
        <c:manualLayout>
          <c:xMode val="edge"/>
          <c:yMode val="edge"/>
          <c:x val="0.12975"/>
          <c:y val="0.96475"/>
          <c:w val="0.802"/>
          <c:h val="0.0352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525"/>
          <c:w val="0.9795"/>
          <c:h val="0.894"/>
        </c:manualLayout>
      </c:layout>
      <c:barChart>
        <c:barDir val="col"/>
        <c:grouping val="clustered"/>
        <c:varyColors val="0"/>
        <c:ser>
          <c:idx val="22"/>
          <c:order val="0"/>
          <c:tx>
            <c:strRef>
              <c:f>'Kader Umfänge'!$A$25</c:f>
              <c:strCache>
                <c:ptCount val="1"/>
                <c:pt idx="0">
                  <c:v>Gesamtzeit Athletik</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'Kader Umfänge'!$B$1:$BB$1</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cat>
          <c:val>
            <c:numRef>
              <c:f>'Kader Umfänge'!$B$25:$BB$25</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23"/>
          <c:order val="1"/>
          <c:tx>
            <c:strRef>
              <c:f>'Kader Umfänge'!$A$26</c:f>
              <c:strCache>
                <c:ptCount val="1"/>
                <c:pt idx="0">
                  <c:v>Gesamtzeit Dehnung</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'Kader Umfänge'!$B$1:$BB$1</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cat>
          <c:val>
            <c:numRef>
              <c:f>'Kader Umfänge'!$B$26:$BB$26</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24"/>
          <c:order val="2"/>
          <c:tx>
            <c:strRef>
              <c:f>'Kader Umfänge'!$A$27</c:f>
              <c:strCache>
                <c:ptCount val="1"/>
                <c:pt idx="0">
                  <c:v>Gesamtzeit Spiel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'Kader Umfänge'!$B$1:$BB$1</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cat>
          <c:val>
            <c:numRef>
              <c:f>'Kader Umfänge'!$B$27:$BB$27</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25"/>
          <c:order val="3"/>
          <c:tx>
            <c:strRef>
              <c:f>'Kader Umfänge'!$A$28</c:f>
              <c:strCache>
                <c:ptCount val="1"/>
                <c:pt idx="0">
                  <c:v>Gesamtzeit anderes</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'Kader Umfänge'!$B$1:$BB$1</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cat>
          <c:val>
            <c:numRef>
              <c:f>'Kader Umfänge'!$B$28:$BB$28</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27"/>
          <c:order val="4"/>
          <c:tx>
            <c:strRef>
              <c:f>'Kader Umfänge'!$A$29</c:f>
              <c:strCache>
                <c:ptCount val="1"/>
                <c:pt idx="0">
                  <c:v>Gesamtzeit Schw</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'Kader Umfänge'!$B$1:$BB$1</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cat>
          <c:val>
            <c:numRef>
              <c:f>'Kader Umfänge'!$B$29:$BB$29</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28"/>
          <c:order val="5"/>
          <c:tx>
            <c:strRef>
              <c:f>'Kader Umfänge'!$A$30</c:f>
              <c:strCache>
                <c:ptCount val="1"/>
                <c:pt idx="0">
                  <c:v>Gesamtzeit Rad</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'Kader Umfänge'!$B$1:$BB$1</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cat>
          <c:val>
            <c:numRef>
              <c:f>'Kader Umfänge'!$B$30:$BB$30</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29"/>
          <c:order val="6"/>
          <c:tx>
            <c:strRef>
              <c:f>'Kader Umfänge'!$A$31</c:f>
              <c:strCache>
                <c:ptCount val="1"/>
                <c:pt idx="0">
                  <c:v>Gesamtzeit Lauf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'Kader Umfänge'!$B$1:$BB$1</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cat>
          <c:val>
            <c:numRef>
              <c:f>'Kader Umfänge'!$B$31:$BB$31</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axId val="55534141"/>
        <c:axId val="30045222"/>
      </c:barChart>
      <c:catAx>
        <c:axId val="5553414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30045222"/>
        <c:crosses val="autoZero"/>
        <c:auto val="1"/>
        <c:lblOffset val="100"/>
        <c:noMultiLvlLbl val="0"/>
      </c:catAx>
      <c:valAx>
        <c:axId val="300452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55534141"/>
        <c:crossesAt val="1"/>
        <c:crossBetween val="between"/>
        <c:dispUnits/>
      </c:valAx>
      <c:spPr>
        <a:solidFill>
          <a:srgbClr val="FFFFFF"/>
        </a:solidFill>
        <a:ln w="12700">
          <a:solidFill>
            <a:srgbClr val="C0C0C0"/>
          </a:solidFill>
        </a:ln>
      </c:spPr>
    </c:plotArea>
    <c:legend>
      <c:legendPos val="r"/>
      <c:layout>
        <c:manualLayout>
          <c:xMode val="edge"/>
          <c:yMode val="edge"/>
          <c:x val="0.36575"/>
          <c:y val="0.956"/>
          <c:w val="0.30775"/>
          <c:h val="0.040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25"/>
          <c:y val="0"/>
        </c:manualLayout>
      </c:layout>
      <c:spPr>
        <a:noFill/>
        <a:ln>
          <a:noFill/>
        </a:ln>
      </c:spPr>
    </c:title>
    <c:plotArea>
      <c:layout>
        <c:manualLayout>
          <c:xMode val="edge"/>
          <c:yMode val="edge"/>
          <c:x val="0.027"/>
          <c:y val="0.14375"/>
          <c:w val="0.94625"/>
          <c:h val="0.7847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Kader!$B$17:$H$17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Kader!$B$26:$H$26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Kader!$B$35:$H$35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Kader!$B$36:$H$36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Kader!$B$37:$H$37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Kader!$B$38:$H$38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Kader!$B$39:$H$39</c:f>
              <c:numCache>
                <c:ptCount val="7"/>
                <c:pt idx="0">
                  <c:v>0</c:v>
                </c:pt>
                <c:pt idx="1">
                  <c:v>0</c:v>
                </c:pt>
                <c:pt idx="2">
                  <c:v>0</c:v>
                </c:pt>
                <c:pt idx="3">
                  <c:v>0</c:v>
                </c:pt>
                <c:pt idx="4">
                  <c:v>0</c:v>
                </c:pt>
                <c:pt idx="5">
                  <c:v>0</c:v>
                </c:pt>
                <c:pt idx="6">
                  <c:v>0</c:v>
                </c:pt>
              </c:numCache>
            </c:numRef>
          </c:val>
        </c:ser>
        <c:overlap val="100"/>
        <c:gapWidth val="100"/>
        <c:axId val="66337467"/>
        <c:axId val="60166292"/>
      </c:barChart>
      <c:catAx>
        <c:axId val="6633746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0166292"/>
        <c:crossesAt val="0"/>
        <c:auto val="1"/>
        <c:lblOffset val="100"/>
        <c:noMultiLvlLbl val="0"/>
      </c:catAx>
      <c:valAx>
        <c:axId val="60166292"/>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66337467"/>
        <c:crossesAt val="1"/>
        <c:crossBetween val="between"/>
        <c:dispUnits/>
      </c:valAx>
      <c:spPr>
        <a:noFill/>
        <a:ln>
          <a:noFill/>
        </a:ln>
      </c:spPr>
    </c:plotArea>
    <c:legend>
      <c:legendPos val="r"/>
      <c:layout>
        <c:manualLayout>
          <c:xMode val="edge"/>
          <c:yMode val="edge"/>
          <c:x val="0.10425"/>
          <c:y val="0.96275"/>
          <c:w val="0.84525"/>
          <c:h val="0.0372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2675"/>
          <c:w val="0.9895"/>
          <c:h val="0.8705"/>
        </c:manualLayout>
      </c:layout>
      <c:lineChart>
        <c:grouping val="standard"/>
        <c:varyColors val="0"/>
        <c:ser>
          <c:idx val="1"/>
          <c:order val="0"/>
          <c:tx>
            <c:strRef>
              <c:f>'Kader Umfänge'!$A$32</c:f>
              <c:strCache>
                <c:ptCount val="1"/>
                <c:pt idx="0">
                  <c:v>Gesamttrainingszeit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'Kader Umfänge'!$B$32:$BB$32</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ser>
        <c:marker val="1"/>
        <c:axId val="1971543"/>
        <c:axId val="17743888"/>
      </c:lineChart>
      <c:lineChart>
        <c:grouping val="standard"/>
        <c:varyColors val="0"/>
        <c:ser>
          <c:idx val="0"/>
          <c:order val="1"/>
          <c:tx>
            <c:strRef>
              <c:f>'Kader Umfänge'!$A$33</c:f>
              <c:strCache>
                <c:ptCount val="1"/>
                <c:pt idx="0">
                  <c:v>Trainingseinheiten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'Kader Umfänge'!$B$33:$BB$33</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ser>
        <c:marker val="1"/>
        <c:axId val="25477265"/>
        <c:axId val="27968794"/>
      </c:lineChart>
      <c:catAx>
        <c:axId val="1971543"/>
        <c:scaling>
          <c:orientation val="minMax"/>
        </c:scaling>
        <c:axPos val="b"/>
        <c:delete val="0"/>
        <c:numFmt formatCode="General" sourceLinked="1"/>
        <c:majorTickMark val="cross"/>
        <c:minorTickMark val="none"/>
        <c:tickLblPos val="nextTo"/>
        <c:spPr>
          <a:ln w="3175">
            <a:solidFill>
              <a:srgbClr val="000000"/>
            </a:solidFill>
          </a:ln>
        </c:spPr>
        <c:crossAx val="17743888"/>
        <c:crosses val="autoZero"/>
        <c:auto val="0"/>
        <c:lblOffset val="100"/>
        <c:noMultiLvlLbl val="0"/>
      </c:catAx>
      <c:valAx>
        <c:axId val="17743888"/>
        <c:scaling>
          <c:orientation val="minMax"/>
        </c:scaling>
        <c:axPos val="l"/>
        <c:delete val="0"/>
        <c:numFmt formatCode="General" sourceLinked="1"/>
        <c:majorTickMark val="cross"/>
        <c:minorTickMark val="none"/>
        <c:tickLblPos val="nextTo"/>
        <c:spPr>
          <a:ln w="3175">
            <a:solidFill>
              <a:srgbClr val="000000"/>
            </a:solidFill>
          </a:ln>
        </c:spPr>
        <c:crossAx val="1971543"/>
        <c:crossesAt val="1"/>
        <c:crossBetween val="between"/>
        <c:dispUnits/>
      </c:valAx>
      <c:catAx>
        <c:axId val="25477265"/>
        <c:scaling>
          <c:orientation val="minMax"/>
        </c:scaling>
        <c:axPos val="b"/>
        <c:delete val="1"/>
        <c:majorTickMark val="out"/>
        <c:minorTickMark val="none"/>
        <c:tickLblPos val="nextTo"/>
        <c:crossAx val="27968794"/>
        <c:crosses val="autoZero"/>
        <c:auto val="0"/>
        <c:lblOffset val="100"/>
        <c:noMultiLvlLbl val="0"/>
      </c:catAx>
      <c:valAx>
        <c:axId val="27968794"/>
        <c:scaling>
          <c:orientation val="minMax"/>
        </c:scaling>
        <c:axPos val="l"/>
        <c:delete val="0"/>
        <c:numFmt formatCode="General" sourceLinked="1"/>
        <c:majorTickMark val="cross"/>
        <c:minorTickMark val="none"/>
        <c:tickLblPos val="nextTo"/>
        <c:spPr>
          <a:ln w="3175">
            <a:solidFill>
              <a:srgbClr val="000000"/>
            </a:solidFill>
          </a:ln>
        </c:spPr>
        <c:crossAx val="25477265"/>
        <c:crosses val="max"/>
        <c:crossBetween val="between"/>
        <c:dispUnits/>
      </c:valAx>
      <c:spPr>
        <a:solidFill>
          <a:srgbClr val="C0C0C0"/>
        </a:solidFill>
        <a:ln w="12700">
          <a:solidFill>
            <a:srgbClr val="808080"/>
          </a:solidFill>
        </a:ln>
      </c:spPr>
    </c:plotArea>
    <c:legend>
      <c:legendPos val="r"/>
      <c:layout>
        <c:manualLayout>
          <c:xMode val="edge"/>
          <c:yMode val="edge"/>
          <c:x val="0.442"/>
          <c:y val="0.92725"/>
          <c:w val="0.126"/>
          <c:h val="0.06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675"/>
          <c:y val="0.14325"/>
          <c:w val="0.946"/>
          <c:h val="0.7835"/>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Kader!$I$17:$O$17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Kader!$I$26:$O$26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Kader!$I$35:$O$35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Kader!$I$36:$O$36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Kader!$I$37:$O$37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Kader!$I$38:$O$38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Kader!$I$39:$O$39</c:f>
              <c:numCache>
                <c:ptCount val="7"/>
                <c:pt idx="0">
                  <c:v>0</c:v>
                </c:pt>
                <c:pt idx="1">
                  <c:v>0</c:v>
                </c:pt>
                <c:pt idx="2">
                  <c:v>0</c:v>
                </c:pt>
                <c:pt idx="3">
                  <c:v>0</c:v>
                </c:pt>
                <c:pt idx="4">
                  <c:v>0</c:v>
                </c:pt>
                <c:pt idx="5">
                  <c:v>0</c:v>
                </c:pt>
                <c:pt idx="6">
                  <c:v>0</c:v>
                </c:pt>
              </c:numCache>
            </c:numRef>
          </c:val>
        </c:ser>
        <c:overlap val="100"/>
        <c:gapWidth val="100"/>
        <c:axId val="4625717"/>
        <c:axId val="41631454"/>
      </c:barChart>
      <c:catAx>
        <c:axId val="462571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41631454"/>
        <c:crossesAt val="0"/>
        <c:auto val="1"/>
        <c:lblOffset val="100"/>
        <c:noMultiLvlLbl val="0"/>
      </c:catAx>
      <c:valAx>
        <c:axId val="41631454"/>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4625717"/>
        <c:crossesAt val="1"/>
        <c:crossBetween val="between"/>
        <c:dispUnits/>
      </c:valAx>
      <c:spPr>
        <a:noFill/>
        <a:ln>
          <a:noFill/>
        </a:ln>
      </c:spPr>
    </c:plotArea>
    <c:legend>
      <c:legendPos val="r"/>
      <c:layout>
        <c:manualLayout>
          <c:xMode val="edge"/>
          <c:yMode val="edge"/>
          <c:x val="0.10425"/>
          <c:y val="0.96275"/>
          <c:w val="0.84525"/>
          <c:h val="0.03725"/>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7"/>
          <c:y val="0.1435"/>
          <c:w val="0.94625"/>
          <c:h val="0.784"/>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Kader!$P$17:$V$17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Kader!$P$26:$V$26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Kader!$P$35:$V$35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Kader!$P$36:$V$36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Kader!$P$37:$V$37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Kader!$P$38:$V$38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Kader!$P$39:$V$39</c:f>
              <c:numCache>
                <c:ptCount val="7"/>
                <c:pt idx="0">
                  <c:v>0</c:v>
                </c:pt>
                <c:pt idx="1">
                  <c:v>0</c:v>
                </c:pt>
                <c:pt idx="2">
                  <c:v>0</c:v>
                </c:pt>
                <c:pt idx="3">
                  <c:v>0</c:v>
                </c:pt>
                <c:pt idx="4">
                  <c:v>0</c:v>
                </c:pt>
                <c:pt idx="5">
                  <c:v>0</c:v>
                </c:pt>
                <c:pt idx="6">
                  <c:v>0</c:v>
                </c:pt>
              </c:numCache>
            </c:numRef>
          </c:val>
        </c:ser>
        <c:overlap val="100"/>
        <c:gapWidth val="100"/>
        <c:axId val="39138767"/>
        <c:axId val="16704584"/>
      </c:barChart>
      <c:catAx>
        <c:axId val="3913876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16704584"/>
        <c:crossesAt val="0"/>
        <c:auto val="1"/>
        <c:lblOffset val="100"/>
        <c:noMultiLvlLbl val="0"/>
      </c:catAx>
      <c:valAx>
        <c:axId val="16704584"/>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39138767"/>
        <c:crossesAt val="1"/>
        <c:crossBetween val="between"/>
        <c:dispUnits/>
      </c:valAx>
      <c:spPr>
        <a:noFill/>
        <a:ln>
          <a:noFill/>
        </a:ln>
      </c:spPr>
    </c:plotArea>
    <c:legend>
      <c:legendPos val="r"/>
      <c:layout>
        <c:manualLayout>
          <c:xMode val="edge"/>
          <c:yMode val="edge"/>
          <c:x val="0.111"/>
          <c:y val="0.963"/>
          <c:w val="0.84225"/>
          <c:h val="0.037"/>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Arial"/>
                <a:ea typeface="Arial"/>
                <a:cs typeface="Arial"/>
              </a:rPr>
              <a:t>Wochentrainingszeit in min</a:t>
            </a:r>
          </a:p>
        </c:rich>
      </c:tx>
      <c:layout>
        <c:manualLayout>
          <c:xMode val="factor"/>
          <c:yMode val="factor"/>
          <c:x val="0.008"/>
          <c:y val="0"/>
        </c:manualLayout>
      </c:layout>
      <c:spPr>
        <a:noFill/>
        <a:ln>
          <a:noFill/>
        </a:ln>
      </c:spPr>
    </c:title>
    <c:plotArea>
      <c:layout>
        <c:manualLayout>
          <c:xMode val="edge"/>
          <c:yMode val="edge"/>
          <c:x val="0.027"/>
          <c:y val="0.1435"/>
          <c:w val="0.94625"/>
          <c:h val="0.784"/>
        </c:manualLayout>
      </c:layout>
      <c:barChart>
        <c:barDir val="col"/>
        <c:grouping val="stacked"/>
        <c:varyColors val="0"/>
        <c:ser>
          <c:idx val="0"/>
          <c:order val="0"/>
          <c:tx>
            <c:v>Schwimmen</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Kader!$W$17:$AC$17</c:f>
              <c:numCache>
                <c:ptCount val="7"/>
                <c:pt idx="0">
                  <c:v>0</c:v>
                </c:pt>
                <c:pt idx="1">
                  <c:v>0</c:v>
                </c:pt>
                <c:pt idx="2">
                  <c:v>0</c:v>
                </c:pt>
                <c:pt idx="3">
                  <c:v>0</c:v>
                </c:pt>
                <c:pt idx="4">
                  <c:v>0</c:v>
                </c:pt>
                <c:pt idx="5">
                  <c:v>0</c:v>
                </c:pt>
                <c:pt idx="6">
                  <c:v>0</c:v>
                </c:pt>
              </c:numCache>
            </c:numRef>
          </c:val>
        </c:ser>
        <c:ser>
          <c:idx val="1"/>
          <c:order val="1"/>
          <c:tx>
            <c:v>Rad</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Kader!$W$26:$AC$26</c:f>
              <c:numCache>
                <c:ptCount val="7"/>
                <c:pt idx="0">
                  <c:v>0</c:v>
                </c:pt>
                <c:pt idx="1">
                  <c:v>0</c:v>
                </c:pt>
                <c:pt idx="2">
                  <c:v>0</c:v>
                </c:pt>
                <c:pt idx="3">
                  <c:v>0</c:v>
                </c:pt>
                <c:pt idx="4">
                  <c:v>0</c:v>
                </c:pt>
                <c:pt idx="5">
                  <c:v>0</c:v>
                </c:pt>
                <c:pt idx="6">
                  <c:v>0</c:v>
                </c:pt>
              </c:numCache>
            </c:numRef>
          </c:val>
        </c:ser>
        <c:ser>
          <c:idx val="2"/>
          <c:order val="2"/>
          <c:tx>
            <c:v>Laufen</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Kader!$W$35:$AC$35</c:f>
              <c:numCache>
                <c:ptCount val="7"/>
                <c:pt idx="0">
                  <c:v>0</c:v>
                </c:pt>
                <c:pt idx="1">
                  <c:v>0</c:v>
                </c:pt>
                <c:pt idx="2">
                  <c:v>0</c:v>
                </c:pt>
                <c:pt idx="3">
                  <c:v>0</c:v>
                </c:pt>
                <c:pt idx="4">
                  <c:v>0</c:v>
                </c:pt>
                <c:pt idx="5">
                  <c:v>0</c:v>
                </c:pt>
                <c:pt idx="6">
                  <c:v>0</c:v>
                </c:pt>
              </c:numCache>
            </c:numRef>
          </c:val>
        </c:ser>
        <c:ser>
          <c:idx val="3"/>
          <c:order val="3"/>
          <c:tx>
            <c:v>Athletik</c:v>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Kader!$W$36:$AC$36</c:f>
              <c:numCache>
                <c:ptCount val="7"/>
                <c:pt idx="0">
                  <c:v>0</c:v>
                </c:pt>
                <c:pt idx="1">
                  <c:v>0</c:v>
                </c:pt>
                <c:pt idx="2">
                  <c:v>0</c:v>
                </c:pt>
                <c:pt idx="3">
                  <c:v>0</c:v>
                </c:pt>
                <c:pt idx="4">
                  <c:v>0</c:v>
                </c:pt>
                <c:pt idx="5">
                  <c:v>0</c:v>
                </c:pt>
                <c:pt idx="6">
                  <c:v>0</c:v>
                </c:pt>
              </c:numCache>
            </c:numRef>
          </c:val>
        </c:ser>
        <c:ser>
          <c:idx val="4"/>
          <c:order val="4"/>
          <c:tx>
            <c:v>Dehnung</c:v>
          </c:tx>
          <c:spPr>
            <a:solidFill>
              <a:srgbClr val="6600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Kader!$W$37:$AC$37</c:f>
              <c:numCache>
                <c:ptCount val="7"/>
                <c:pt idx="0">
                  <c:v>0</c:v>
                </c:pt>
                <c:pt idx="1">
                  <c:v>0</c:v>
                </c:pt>
                <c:pt idx="2">
                  <c:v>0</c:v>
                </c:pt>
                <c:pt idx="3">
                  <c:v>0</c:v>
                </c:pt>
                <c:pt idx="4">
                  <c:v>0</c:v>
                </c:pt>
                <c:pt idx="5">
                  <c:v>0</c:v>
                </c:pt>
                <c:pt idx="6">
                  <c:v>0</c:v>
                </c:pt>
              </c:numCache>
            </c:numRef>
          </c:val>
        </c:ser>
        <c:ser>
          <c:idx val="5"/>
          <c:order val="5"/>
          <c:tx>
            <c:v>Spiel</c:v>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Kader!$W$38:$AC$38</c:f>
              <c:numCache>
                <c:ptCount val="7"/>
                <c:pt idx="0">
                  <c:v>0</c:v>
                </c:pt>
                <c:pt idx="1">
                  <c:v>0</c:v>
                </c:pt>
                <c:pt idx="2">
                  <c:v>0</c:v>
                </c:pt>
                <c:pt idx="3">
                  <c:v>0</c:v>
                </c:pt>
                <c:pt idx="4">
                  <c:v>0</c:v>
                </c:pt>
                <c:pt idx="5">
                  <c:v>0</c:v>
                </c:pt>
                <c:pt idx="6">
                  <c:v>0</c:v>
                </c:pt>
              </c:numCache>
            </c:numRef>
          </c:val>
        </c:ser>
        <c:ser>
          <c:idx val="6"/>
          <c:order val="6"/>
          <c:tx>
            <c:v>Anderes</c:v>
          </c:tx>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Kader!$B$7:$H$7</c:f>
              <c:strCache/>
            </c:strRef>
          </c:cat>
          <c:val>
            <c:numRef>
              <c:f>Kader!$W$39:$AC$39</c:f>
              <c:numCache>
                <c:ptCount val="7"/>
                <c:pt idx="0">
                  <c:v>0</c:v>
                </c:pt>
                <c:pt idx="1">
                  <c:v>0</c:v>
                </c:pt>
                <c:pt idx="2">
                  <c:v>0</c:v>
                </c:pt>
                <c:pt idx="3">
                  <c:v>0</c:v>
                </c:pt>
                <c:pt idx="4">
                  <c:v>0</c:v>
                </c:pt>
                <c:pt idx="5">
                  <c:v>0</c:v>
                </c:pt>
                <c:pt idx="6">
                  <c:v>0</c:v>
                </c:pt>
              </c:numCache>
            </c:numRef>
          </c:val>
        </c:ser>
        <c:overlap val="100"/>
        <c:gapWidth val="100"/>
        <c:axId val="16123529"/>
        <c:axId val="10894034"/>
      </c:barChart>
      <c:catAx>
        <c:axId val="1612352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10894034"/>
        <c:crossesAt val="0"/>
        <c:auto val="1"/>
        <c:lblOffset val="100"/>
        <c:noMultiLvlLbl val="0"/>
      </c:catAx>
      <c:valAx>
        <c:axId val="10894034"/>
        <c:scaling>
          <c:orientation val="minMax"/>
        </c:scaling>
        <c:axPos val="l"/>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770" b="0" i="0" u="none" baseline="0">
                <a:solidFill>
                  <a:srgbClr val="000000"/>
                </a:solidFill>
                <a:latin typeface="Arial"/>
                <a:ea typeface="Arial"/>
                <a:cs typeface="Arial"/>
              </a:defRPr>
            </a:pPr>
          </a:p>
        </c:txPr>
        <c:crossAx val="16123529"/>
        <c:crossesAt val="1"/>
        <c:crossBetween val="between"/>
        <c:dispUnits/>
      </c:valAx>
      <c:spPr>
        <a:noFill/>
        <a:ln>
          <a:noFill/>
        </a:ln>
      </c:spPr>
    </c:plotArea>
    <c:legend>
      <c:legendPos val="r"/>
      <c:layout>
        <c:manualLayout>
          <c:xMode val="edge"/>
          <c:yMode val="edge"/>
          <c:x val="0.111"/>
          <c:y val="0.963"/>
          <c:w val="0.84225"/>
          <c:h val="0.037"/>
        </c:manualLayout>
      </c:layout>
      <c:overlay val="0"/>
      <c:spPr>
        <a:noFill/>
        <a:ln w="3175">
          <a:noFill/>
        </a:ln>
      </c:spPr>
      <c:txPr>
        <a:bodyPr vert="horz" rot="0"/>
        <a:lstStyle/>
        <a:p>
          <a:pPr>
            <a:defRPr lang="en-US" cap="none" sz="6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 Id="rId9" Type="http://schemas.openxmlformats.org/officeDocument/2006/relationships/chart" Target="/xl/charts/chart14.xml" /><Relationship Id="rId10" Type="http://schemas.openxmlformats.org/officeDocument/2006/relationships/chart" Target="/xl/charts/chart15.xml" /><Relationship Id="rId11" Type="http://schemas.openxmlformats.org/officeDocument/2006/relationships/chart" Target="/xl/charts/chart16.xml" /><Relationship Id="rId12" Type="http://schemas.openxmlformats.org/officeDocument/2006/relationships/chart" Target="/xl/charts/chart17.xml" /><Relationship Id="rId13" Type="http://schemas.openxmlformats.org/officeDocument/2006/relationships/chart" Target="/xl/charts/chart18.xml" /><Relationship Id="rId14" Type="http://schemas.openxmlformats.org/officeDocument/2006/relationships/chart" Target="/xl/charts/chart19.xml" /><Relationship Id="rId15" Type="http://schemas.openxmlformats.org/officeDocument/2006/relationships/chart" Target="/xl/charts/chart20.xml" /><Relationship Id="rId16" Type="http://schemas.openxmlformats.org/officeDocument/2006/relationships/chart" Target="/xl/charts/chart21.xml" /><Relationship Id="rId17" Type="http://schemas.openxmlformats.org/officeDocument/2006/relationships/chart" Target="/xl/charts/chart22.xml" /><Relationship Id="rId18" Type="http://schemas.openxmlformats.org/officeDocument/2006/relationships/chart" Target="/xl/charts/chart23.xml" /><Relationship Id="rId19" Type="http://schemas.openxmlformats.org/officeDocument/2006/relationships/chart" Target="/xl/charts/chart24.xml" /><Relationship Id="rId20" Type="http://schemas.openxmlformats.org/officeDocument/2006/relationships/chart" Target="/xl/charts/chart25.xml" /><Relationship Id="rId21" Type="http://schemas.openxmlformats.org/officeDocument/2006/relationships/chart" Target="/xl/charts/chart26.xml" /><Relationship Id="rId22" Type="http://schemas.openxmlformats.org/officeDocument/2006/relationships/chart" Target="/xl/charts/chart27.xml" /><Relationship Id="rId23" Type="http://schemas.openxmlformats.org/officeDocument/2006/relationships/chart" Target="/xl/charts/chart28.xml" /><Relationship Id="rId24" Type="http://schemas.openxmlformats.org/officeDocument/2006/relationships/chart" Target="/xl/charts/chart29.xml" /><Relationship Id="rId25" Type="http://schemas.openxmlformats.org/officeDocument/2006/relationships/chart" Target="/xl/charts/chart30.xml" /><Relationship Id="rId26" Type="http://schemas.openxmlformats.org/officeDocument/2006/relationships/chart" Target="/xl/charts/chart31.xml" /><Relationship Id="rId27" Type="http://schemas.openxmlformats.org/officeDocument/2006/relationships/chart" Target="/xl/charts/chart32.xml" /><Relationship Id="rId28" Type="http://schemas.openxmlformats.org/officeDocument/2006/relationships/chart" Target="/xl/charts/chart33.xml" /><Relationship Id="rId29" Type="http://schemas.openxmlformats.org/officeDocument/2006/relationships/chart" Target="/xl/charts/chart34.xml" /><Relationship Id="rId30" Type="http://schemas.openxmlformats.org/officeDocument/2006/relationships/chart" Target="/xl/charts/chart35.xml" /><Relationship Id="rId31" Type="http://schemas.openxmlformats.org/officeDocument/2006/relationships/chart" Target="/xl/charts/chart36.xml" /><Relationship Id="rId32" Type="http://schemas.openxmlformats.org/officeDocument/2006/relationships/chart" Target="/xl/charts/chart37.xml" /><Relationship Id="rId33" Type="http://schemas.openxmlformats.org/officeDocument/2006/relationships/chart" Target="/xl/charts/chart38.xml" /><Relationship Id="rId34" Type="http://schemas.openxmlformats.org/officeDocument/2006/relationships/chart" Target="/xl/charts/chart39.xml" /><Relationship Id="rId35" Type="http://schemas.openxmlformats.org/officeDocument/2006/relationships/chart" Target="/xl/charts/chart40.xml" /><Relationship Id="rId36" Type="http://schemas.openxmlformats.org/officeDocument/2006/relationships/chart" Target="/xl/charts/chart41.xml" /><Relationship Id="rId37" Type="http://schemas.openxmlformats.org/officeDocument/2006/relationships/chart" Target="/xl/charts/chart42.xml" /><Relationship Id="rId38" Type="http://schemas.openxmlformats.org/officeDocument/2006/relationships/chart" Target="/xl/charts/chart43.xml" /><Relationship Id="rId39" Type="http://schemas.openxmlformats.org/officeDocument/2006/relationships/chart" Target="/xl/charts/chart44.xml" /><Relationship Id="rId40" Type="http://schemas.openxmlformats.org/officeDocument/2006/relationships/chart" Target="/xl/charts/chart45.xml" /><Relationship Id="rId41" Type="http://schemas.openxmlformats.org/officeDocument/2006/relationships/chart" Target="/xl/charts/chart46.xml" /><Relationship Id="rId42" Type="http://schemas.openxmlformats.org/officeDocument/2006/relationships/chart" Target="/xl/charts/chart47.xml" /><Relationship Id="rId43" Type="http://schemas.openxmlformats.org/officeDocument/2006/relationships/chart" Target="/xl/charts/chart48.xml" /><Relationship Id="rId44" Type="http://schemas.openxmlformats.org/officeDocument/2006/relationships/chart" Target="/xl/charts/chart49.xml" /><Relationship Id="rId45" Type="http://schemas.openxmlformats.org/officeDocument/2006/relationships/chart" Target="/xl/charts/chart50.xml" /><Relationship Id="rId46" Type="http://schemas.openxmlformats.org/officeDocument/2006/relationships/chart" Target="/xl/charts/chart51.xml" /><Relationship Id="rId47" Type="http://schemas.openxmlformats.org/officeDocument/2006/relationships/chart" Target="/xl/charts/chart52.xml" /><Relationship Id="rId48" Type="http://schemas.openxmlformats.org/officeDocument/2006/relationships/chart" Target="/xl/charts/chart53.xml" /><Relationship Id="rId49" Type="http://schemas.openxmlformats.org/officeDocument/2006/relationships/chart" Target="/xl/charts/chart54.xml" /><Relationship Id="rId50" Type="http://schemas.openxmlformats.org/officeDocument/2006/relationships/chart" Target="/xl/charts/chart55.xml" /><Relationship Id="rId51" Type="http://schemas.openxmlformats.org/officeDocument/2006/relationships/chart" Target="/xl/charts/chart56.xml" /><Relationship Id="rId52" Type="http://schemas.openxmlformats.org/officeDocument/2006/relationships/chart" Target="/xl/charts/chart57.xml" /><Relationship Id="rId53" Type="http://schemas.openxmlformats.org/officeDocument/2006/relationships/chart" Target="/xl/charts/chart5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9.xml" /><Relationship Id="rId2" Type="http://schemas.openxmlformats.org/officeDocument/2006/relationships/chart" Target="/xl/charts/chart6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95250</xdr:colOff>
      <xdr:row>37</xdr:row>
      <xdr:rowOff>66675</xdr:rowOff>
    </xdr:from>
    <xdr:to>
      <xdr:col>56</xdr:col>
      <xdr:colOff>209550</xdr:colOff>
      <xdr:row>38</xdr:row>
      <xdr:rowOff>28575</xdr:rowOff>
    </xdr:to>
    <xdr:pic>
      <xdr:nvPicPr>
        <xdr:cNvPr id="1" name="Picture 2180"/>
        <xdr:cNvPicPr preferRelativeResize="1">
          <a:picLocks noChangeAspect="1"/>
        </xdr:cNvPicPr>
      </xdr:nvPicPr>
      <xdr:blipFill>
        <a:blip r:embed="rId1"/>
        <a:stretch>
          <a:fillRect/>
        </a:stretch>
      </xdr:blipFill>
      <xdr:spPr>
        <a:xfrm>
          <a:off x="33394650" y="6086475"/>
          <a:ext cx="114300" cy="123825"/>
        </a:xfrm>
        <a:prstGeom prst="rect">
          <a:avLst/>
        </a:prstGeom>
        <a:blipFill>
          <a:blip r:embed=""/>
          <a:srcRect/>
          <a:stretch>
            <a:fillRect/>
          </a:stretch>
        </a:blipFill>
        <a:ln w="9525" cmpd="sng">
          <a:noFill/>
        </a:ln>
      </xdr:spPr>
    </xdr:pic>
    <xdr:clientData/>
  </xdr:twoCellAnchor>
  <xdr:twoCellAnchor>
    <xdr:from>
      <xdr:col>5</xdr:col>
      <xdr:colOff>257175</xdr:colOff>
      <xdr:row>66</xdr:row>
      <xdr:rowOff>28575</xdr:rowOff>
    </xdr:from>
    <xdr:to>
      <xdr:col>5</xdr:col>
      <xdr:colOff>390525</xdr:colOff>
      <xdr:row>67</xdr:row>
      <xdr:rowOff>0</xdr:rowOff>
    </xdr:to>
    <xdr:pic>
      <xdr:nvPicPr>
        <xdr:cNvPr id="2" name="Picture 2183"/>
        <xdr:cNvPicPr preferRelativeResize="1">
          <a:picLocks noChangeAspect="1"/>
        </xdr:cNvPicPr>
      </xdr:nvPicPr>
      <xdr:blipFill>
        <a:blip r:embed="rId2"/>
        <a:stretch>
          <a:fillRect/>
        </a:stretch>
      </xdr:blipFill>
      <xdr:spPr>
        <a:xfrm>
          <a:off x="4238625" y="10753725"/>
          <a:ext cx="133350" cy="133350"/>
        </a:xfrm>
        <a:prstGeom prst="rect">
          <a:avLst/>
        </a:prstGeom>
        <a:blipFill>
          <a:blip r:embed=""/>
          <a:srcRect/>
          <a:stretch>
            <a:fillRect/>
          </a:stretch>
        </a:blipFill>
        <a:ln w="9525" cmpd="sng">
          <a:noFill/>
        </a:ln>
      </xdr:spPr>
    </xdr:pic>
    <xdr:clientData/>
  </xdr:twoCellAnchor>
  <xdr:twoCellAnchor>
    <xdr:from>
      <xdr:col>5</xdr:col>
      <xdr:colOff>190500</xdr:colOff>
      <xdr:row>67</xdr:row>
      <xdr:rowOff>123825</xdr:rowOff>
    </xdr:from>
    <xdr:to>
      <xdr:col>5</xdr:col>
      <xdr:colOff>409575</xdr:colOff>
      <xdr:row>69</xdr:row>
      <xdr:rowOff>57150</xdr:rowOff>
    </xdr:to>
    <xdr:pic>
      <xdr:nvPicPr>
        <xdr:cNvPr id="3" name="Picture 2184"/>
        <xdr:cNvPicPr preferRelativeResize="1">
          <a:picLocks noChangeAspect="1"/>
        </xdr:cNvPicPr>
      </xdr:nvPicPr>
      <xdr:blipFill>
        <a:blip r:embed="rId3"/>
        <a:stretch>
          <a:fillRect/>
        </a:stretch>
      </xdr:blipFill>
      <xdr:spPr>
        <a:xfrm>
          <a:off x="4171950" y="11010900"/>
          <a:ext cx="219075" cy="257175"/>
        </a:xfrm>
        <a:prstGeom prst="rect">
          <a:avLst/>
        </a:prstGeom>
        <a:blipFill>
          <a:blip r:embed=""/>
          <a:srcRect/>
          <a:stretch>
            <a:fillRect/>
          </a:stretch>
        </a:blipFill>
        <a:ln w="9525" cmpd="sng">
          <a:noFill/>
        </a:ln>
      </xdr:spPr>
    </xdr:pic>
    <xdr:clientData/>
  </xdr:twoCellAnchor>
  <xdr:twoCellAnchor>
    <xdr:from>
      <xdr:col>56</xdr:col>
      <xdr:colOff>95250</xdr:colOff>
      <xdr:row>37</xdr:row>
      <xdr:rowOff>66675</xdr:rowOff>
    </xdr:from>
    <xdr:to>
      <xdr:col>56</xdr:col>
      <xdr:colOff>209550</xdr:colOff>
      <xdr:row>38</xdr:row>
      <xdr:rowOff>28575</xdr:rowOff>
    </xdr:to>
    <xdr:pic>
      <xdr:nvPicPr>
        <xdr:cNvPr id="4" name="Picture 2180"/>
        <xdr:cNvPicPr preferRelativeResize="1">
          <a:picLocks noChangeAspect="1"/>
        </xdr:cNvPicPr>
      </xdr:nvPicPr>
      <xdr:blipFill>
        <a:blip r:embed="rId1"/>
        <a:stretch>
          <a:fillRect/>
        </a:stretch>
      </xdr:blipFill>
      <xdr:spPr>
        <a:xfrm>
          <a:off x="33394650" y="6086475"/>
          <a:ext cx="114300" cy="123825"/>
        </a:xfrm>
        <a:prstGeom prst="rect">
          <a:avLst/>
        </a:prstGeom>
        <a:blipFill>
          <a:blip r:embed=""/>
          <a:srcRect/>
          <a:stretch>
            <a:fillRect/>
          </a:stretch>
        </a:blipFill>
        <a:ln w="9525" cmpd="sng">
          <a:noFill/>
        </a:ln>
      </xdr:spPr>
    </xdr:pic>
    <xdr:clientData/>
  </xdr:twoCellAnchor>
  <xdr:twoCellAnchor>
    <xdr:from>
      <xdr:col>2</xdr:col>
      <xdr:colOff>923925</xdr:colOff>
      <xdr:row>60</xdr:row>
      <xdr:rowOff>123825</xdr:rowOff>
    </xdr:from>
    <xdr:to>
      <xdr:col>2</xdr:col>
      <xdr:colOff>1047750</xdr:colOff>
      <xdr:row>61</xdr:row>
      <xdr:rowOff>85725</xdr:rowOff>
    </xdr:to>
    <xdr:pic>
      <xdr:nvPicPr>
        <xdr:cNvPr id="5" name="Picture 2180"/>
        <xdr:cNvPicPr preferRelativeResize="1">
          <a:picLocks noChangeAspect="1"/>
        </xdr:cNvPicPr>
      </xdr:nvPicPr>
      <xdr:blipFill>
        <a:blip r:embed="rId2"/>
        <a:stretch>
          <a:fillRect/>
        </a:stretch>
      </xdr:blipFill>
      <xdr:spPr>
        <a:xfrm>
          <a:off x="2209800" y="9867900"/>
          <a:ext cx="123825" cy="123825"/>
        </a:xfrm>
        <a:prstGeom prst="rect">
          <a:avLst/>
        </a:prstGeom>
        <a:blipFill>
          <a:blip r:embed=""/>
          <a:srcRect/>
          <a:stretch>
            <a:fillRect/>
          </a:stretch>
        </a:blipFill>
        <a:ln w="9525" cmpd="sng">
          <a:noFill/>
        </a:ln>
      </xdr:spPr>
    </xdr:pic>
    <xdr:clientData/>
  </xdr:twoCellAnchor>
  <xdr:twoCellAnchor>
    <xdr:from>
      <xdr:col>2</xdr:col>
      <xdr:colOff>895350</xdr:colOff>
      <xdr:row>30</xdr:row>
      <xdr:rowOff>57150</xdr:rowOff>
    </xdr:from>
    <xdr:to>
      <xdr:col>2</xdr:col>
      <xdr:colOff>1123950</xdr:colOff>
      <xdr:row>32</xdr:row>
      <xdr:rowOff>0</xdr:rowOff>
    </xdr:to>
    <xdr:pic>
      <xdr:nvPicPr>
        <xdr:cNvPr id="6" name="Picture 2159"/>
        <xdr:cNvPicPr preferRelativeResize="1">
          <a:picLocks noChangeAspect="1"/>
        </xdr:cNvPicPr>
      </xdr:nvPicPr>
      <xdr:blipFill>
        <a:blip r:embed="rId3"/>
        <a:stretch>
          <a:fillRect/>
        </a:stretch>
      </xdr:blipFill>
      <xdr:spPr>
        <a:xfrm>
          <a:off x="2181225" y="4943475"/>
          <a:ext cx="228600" cy="266700"/>
        </a:xfrm>
        <a:prstGeom prst="rect">
          <a:avLst/>
        </a:prstGeom>
        <a:blipFill>
          <a:blip r:embed=""/>
          <a:srcRect/>
          <a:stretch>
            <a:fillRect/>
          </a:stretch>
        </a:blipFill>
        <a:ln w="9525" cmpd="sng">
          <a:noFill/>
        </a:ln>
      </xdr:spPr>
    </xdr:pic>
    <xdr:clientData/>
  </xdr:twoCellAnchor>
  <xdr:twoCellAnchor>
    <xdr:from>
      <xdr:col>4</xdr:col>
      <xdr:colOff>733425</xdr:colOff>
      <xdr:row>60</xdr:row>
      <xdr:rowOff>85725</xdr:rowOff>
    </xdr:from>
    <xdr:to>
      <xdr:col>4</xdr:col>
      <xdr:colOff>857250</xdr:colOff>
      <xdr:row>61</xdr:row>
      <xdr:rowOff>47625</xdr:rowOff>
    </xdr:to>
    <xdr:pic>
      <xdr:nvPicPr>
        <xdr:cNvPr id="7" name="Picture 2180"/>
        <xdr:cNvPicPr preferRelativeResize="1">
          <a:picLocks noChangeAspect="1"/>
        </xdr:cNvPicPr>
      </xdr:nvPicPr>
      <xdr:blipFill>
        <a:blip r:embed="rId2"/>
        <a:stretch>
          <a:fillRect/>
        </a:stretch>
      </xdr:blipFill>
      <xdr:spPr>
        <a:xfrm>
          <a:off x="3743325" y="9829800"/>
          <a:ext cx="123825" cy="123825"/>
        </a:xfrm>
        <a:prstGeom prst="rect">
          <a:avLst/>
        </a:prstGeom>
        <a:blipFill>
          <a:blip r:embed=""/>
          <a:srcRect/>
          <a:stretch>
            <a:fillRect/>
          </a:stretch>
        </a:blipFill>
        <a:ln w="9525" cmpd="sng">
          <a:noFill/>
        </a:ln>
      </xdr:spPr>
    </xdr:pic>
    <xdr:clientData/>
  </xdr:twoCellAnchor>
  <xdr:twoCellAnchor>
    <xdr:from>
      <xdr:col>4</xdr:col>
      <xdr:colOff>609600</xdr:colOff>
      <xdr:row>28</xdr:row>
      <xdr:rowOff>38100</xdr:rowOff>
    </xdr:from>
    <xdr:to>
      <xdr:col>4</xdr:col>
      <xdr:colOff>838200</xdr:colOff>
      <xdr:row>29</xdr:row>
      <xdr:rowOff>142875</xdr:rowOff>
    </xdr:to>
    <xdr:pic>
      <xdr:nvPicPr>
        <xdr:cNvPr id="8" name="Picture 2159"/>
        <xdr:cNvPicPr preferRelativeResize="1">
          <a:picLocks noChangeAspect="1"/>
        </xdr:cNvPicPr>
      </xdr:nvPicPr>
      <xdr:blipFill>
        <a:blip r:embed="rId3"/>
        <a:stretch>
          <a:fillRect/>
        </a:stretch>
      </xdr:blipFill>
      <xdr:spPr>
        <a:xfrm>
          <a:off x="3619500" y="4600575"/>
          <a:ext cx="228600" cy="266700"/>
        </a:xfrm>
        <a:prstGeom prst="rect">
          <a:avLst/>
        </a:prstGeom>
        <a:blipFill>
          <a:blip r:embed=""/>
          <a:srcRect/>
          <a:stretch>
            <a:fillRect/>
          </a:stretch>
        </a:blipFill>
        <a:ln w="9525" cmpd="sng">
          <a:noFill/>
        </a:ln>
      </xdr:spPr>
    </xdr:pic>
    <xdr:clientData/>
  </xdr:twoCellAnchor>
  <xdr:twoCellAnchor>
    <xdr:from>
      <xdr:col>6</xdr:col>
      <xdr:colOff>657225</xdr:colOff>
      <xdr:row>56</xdr:row>
      <xdr:rowOff>76200</xdr:rowOff>
    </xdr:from>
    <xdr:to>
      <xdr:col>6</xdr:col>
      <xdr:colOff>781050</xdr:colOff>
      <xdr:row>57</xdr:row>
      <xdr:rowOff>38100</xdr:rowOff>
    </xdr:to>
    <xdr:pic>
      <xdr:nvPicPr>
        <xdr:cNvPr id="9" name="Picture 2180"/>
        <xdr:cNvPicPr preferRelativeResize="1">
          <a:picLocks noChangeAspect="1"/>
        </xdr:cNvPicPr>
      </xdr:nvPicPr>
      <xdr:blipFill>
        <a:blip r:embed="rId2"/>
        <a:stretch>
          <a:fillRect/>
        </a:stretch>
      </xdr:blipFill>
      <xdr:spPr>
        <a:xfrm>
          <a:off x="5162550" y="9172575"/>
          <a:ext cx="123825" cy="123825"/>
        </a:xfrm>
        <a:prstGeom prst="rect">
          <a:avLst/>
        </a:prstGeom>
        <a:blipFill>
          <a:blip r:embed=""/>
          <a:srcRect/>
          <a:stretch>
            <a:fillRect/>
          </a:stretch>
        </a:blipFill>
        <a:ln w="9525" cmpd="sng">
          <a:noFill/>
        </a:ln>
      </xdr:spPr>
    </xdr:pic>
    <xdr:clientData/>
  </xdr:twoCellAnchor>
  <xdr:twoCellAnchor>
    <xdr:from>
      <xdr:col>8</xdr:col>
      <xdr:colOff>666750</xdr:colOff>
      <xdr:row>54</xdr:row>
      <xdr:rowOff>104775</xdr:rowOff>
    </xdr:from>
    <xdr:to>
      <xdr:col>8</xdr:col>
      <xdr:colOff>790575</xdr:colOff>
      <xdr:row>55</xdr:row>
      <xdr:rowOff>57150</xdr:rowOff>
    </xdr:to>
    <xdr:pic>
      <xdr:nvPicPr>
        <xdr:cNvPr id="10" name="Picture 2180"/>
        <xdr:cNvPicPr preferRelativeResize="1">
          <a:picLocks noChangeAspect="1"/>
        </xdr:cNvPicPr>
      </xdr:nvPicPr>
      <xdr:blipFill>
        <a:blip r:embed="rId2"/>
        <a:stretch>
          <a:fillRect/>
        </a:stretch>
      </xdr:blipFill>
      <xdr:spPr>
        <a:xfrm>
          <a:off x="6686550" y="8877300"/>
          <a:ext cx="123825" cy="114300"/>
        </a:xfrm>
        <a:prstGeom prst="rect">
          <a:avLst/>
        </a:prstGeom>
        <a:blipFill>
          <a:blip r:embed=""/>
          <a:srcRect/>
          <a:stretch>
            <a:fillRect/>
          </a:stretch>
        </a:blipFill>
        <a:ln w="9525" cmpd="sng">
          <a:noFill/>
        </a:ln>
      </xdr:spPr>
    </xdr:pic>
    <xdr:clientData/>
  </xdr:twoCellAnchor>
  <xdr:twoCellAnchor>
    <xdr:from>
      <xdr:col>10</xdr:col>
      <xdr:colOff>619125</xdr:colOff>
      <xdr:row>56</xdr:row>
      <xdr:rowOff>76200</xdr:rowOff>
    </xdr:from>
    <xdr:to>
      <xdr:col>10</xdr:col>
      <xdr:colOff>742950</xdr:colOff>
      <xdr:row>57</xdr:row>
      <xdr:rowOff>38100</xdr:rowOff>
    </xdr:to>
    <xdr:pic>
      <xdr:nvPicPr>
        <xdr:cNvPr id="11" name="Picture 2180"/>
        <xdr:cNvPicPr preferRelativeResize="1">
          <a:picLocks noChangeAspect="1"/>
        </xdr:cNvPicPr>
      </xdr:nvPicPr>
      <xdr:blipFill>
        <a:blip r:embed="rId2"/>
        <a:stretch>
          <a:fillRect/>
        </a:stretch>
      </xdr:blipFill>
      <xdr:spPr>
        <a:xfrm>
          <a:off x="8096250" y="9172575"/>
          <a:ext cx="123825" cy="123825"/>
        </a:xfrm>
        <a:prstGeom prst="rect">
          <a:avLst/>
        </a:prstGeom>
        <a:blipFill>
          <a:blip r:embed=""/>
          <a:srcRect/>
          <a:stretch>
            <a:fillRect/>
          </a:stretch>
        </a:blipFill>
        <a:ln w="9525" cmpd="sng">
          <a:noFill/>
        </a:ln>
      </xdr:spPr>
    </xdr:pic>
    <xdr:clientData/>
  </xdr:twoCellAnchor>
  <xdr:twoCellAnchor>
    <xdr:from>
      <xdr:col>12</xdr:col>
      <xdr:colOff>809625</xdr:colOff>
      <xdr:row>54</xdr:row>
      <xdr:rowOff>76200</xdr:rowOff>
    </xdr:from>
    <xdr:to>
      <xdr:col>12</xdr:col>
      <xdr:colOff>933450</xdr:colOff>
      <xdr:row>55</xdr:row>
      <xdr:rowOff>38100</xdr:rowOff>
    </xdr:to>
    <xdr:pic>
      <xdr:nvPicPr>
        <xdr:cNvPr id="12" name="Picture 2180"/>
        <xdr:cNvPicPr preferRelativeResize="1">
          <a:picLocks noChangeAspect="1"/>
        </xdr:cNvPicPr>
      </xdr:nvPicPr>
      <xdr:blipFill>
        <a:blip r:embed="rId2"/>
        <a:stretch>
          <a:fillRect/>
        </a:stretch>
      </xdr:blipFill>
      <xdr:spPr>
        <a:xfrm>
          <a:off x="9715500" y="8848725"/>
          <a:ext cx="123825" cy="123825"/>
        </a:xfrm>
        <a:prstGeom prst="rect">
          <a:avLst/>
        </a:prstGeom>
        <a:blipFill>
          <a:blip r:embed=""/>
          <a:srcRect/>
          <a:stretch>
            <a:fillRect/>
          </a:stretch>
        </a:blipFill>
        <a:ln w="9525" cmpd="sng">
          <a:noFill/>
        </a:ln>
      </xdr:spPr>
    </xdr:pic>
    <xdr:clientData/>
  </xdr:twoCellAnchor>
  <xdr:twoCellAnchor>
    <xdr:from>
      <xdr:col>14</xdr:col>
      <xdr:colOff>762000</xdr:colOff>
      <xdr:row>52</xdr:row>
      <xdr:rowOff>76200</xdr:rowOff>
    </xdr:from>
    <xdr:to>
      <xdr:col>14</xdr:col>
      <xdr:colOff>885825</xdr:colOff>
      <xdr:row>53</xdr:row>
      <xdr:rowOff>38100</xdr:rowOff>
    </xdr:to>
    <xdr:pic>
      <xdr:nvPicPr>
        <xdr:cNvPr id="13" name="Picture 2180"/>
        <xdr:cNvPicPr preferRelativeResize="1">
          <a:picLocks noChangeAspect="1"/>
        </xdr:cNvPicPr>
      </xdr:nvPicPr>
      <xdr:blipFill>
        <a:blip r:embed="rId2"/>
        <a:stretch>
          <a:fillRect/>
        </a:stretch>
      </xdr:blipFill>
      <xdr:spPr>
        <a:xfrm>
          <a:off x="11268075" y="8524875"/>
          <a:ext cx="123825" cy="123825"/>
        </a:xfrm>
        <a:prstGeom prst="rect">
          <a:avLst/>
        </a:prstGeom>
        <a:blipFill>
          <a:blip r:embed=""/>
          <a:srcRect/>
          <a:stretch>
            <a:fillRect/>
          </a:stretch>
        </a:blipFill>
        <a:ln w="9525" cmpd="sng">
          <a:noFill/>
        </a:ln>
      </xdr:spPr>
    </xdr:pic>
    <xdr:clientData/>
  </xdr:twoCellAnchor>
  <xdr:twoCellAnchor>
    <xdr:from>
      <xdr:col>16</xdr:col>
      <xdr:colOff>695325</xdr:colOff>
      <xdr:row>48</xdr:row>
      <xdr:rowOff>123825</xdr:rowOff>
    </xdr:from>
    <xdr:to>
      <xdr:col>16</xdr:col>
      <xdr:colOff>819150</xdr:colOff>
      <xdr:row>49</xdr:row>
      <xdr:rowOff>85725</xdr:rowOff>
    </xdr:to>
    <xdr:pic>
      <xdr:nvPicPr>
        <xdr:cNvPr id="14" name="Picture 2180"/>
        <xdr:cNvPicPr preferRelativeResize="1">
          <a:picLocks noChangeAspect="1"/>
        </xdr:cNvPicPr>
      </xdr:nvPicPr>
      <xdr:blipFill>
        <a:blip r:embed="rId2"/>
        <a:stretch>
          <a:fillRect/>
        </a:stretch>
      </xdr:blipFill>
      <xdr:spPr>
        <a:xfrm>
          <a:off x="12773025" y="7924800"/>
          <a:ext cx="123825" cy="123825"/>
        </a:xfrm>
        <a:prstGeom prst="rect">
          <a:avLst/>
        </a:prstGeom>
        <a:blipFill>
          <a:blip r:embed=""/>
          <a:srcRect/>
          <a:stretch>
            <a:fillRect/>
          </a:stretch>
        </a:blipFill>
        <a:ln w="9525" cmpd="sng">
          <a:noFill/>
        </a:ln>
      </xdr:spPr>
    </xdr:pic>
    <xdr:clientData/>
  </xdr:twoCellAnchor>
  <xdr:twoCellAnchor>
    <xdr:from>
      <xdr:col>20</xdr:col>
      <xdr:colOff>723900</xdr:colOff>
      <xdr:row>42</xdr:row>
      <xdr:rowOff>123825</xdr:rowOff>
    </xdr:from>
    <xdr:to>
      <xdr:col>20</xdr:col>
      <xdr:colOff>847725</xdr:colOff>
      <xdr:row>43</xdr:row>
      <xdr:rowOff>85725</xdr:rowOff>
    </xdr:to>
    <xdr:pic>
      <xdr:nvPicPr>
        <xdr:cNvPr id="15" name="Picture 2180"/>
        <xdr:cNvPicPr preferRelativeResize="1">
          <a:picLocks noChangeAspect="1"/>
        </xdr:cNvPicPr>
      </xdr:nvPicPr>
      <xdr:blipFill>
        <a:blip r:embed="rId2"/>
        <a:stretch>
          <a:fillRect/>
        </a:stretch>
      </xdr:blipFill>
      <xdr:spPr>
        <a:xfrm>
          <a:off x="15868650" y="6953250"/>
          <a:ext cx="123825" cy="123825"/>
        </a:xfrm>
        <a:prstGeom prst="rect">
          <a:avLst/>
        </a:prstGeom>
        <a:blipFill>
          <a:blip r:embed=""/>
          <a:srcRect/>
          <a:stretch>
            <a:fillRect/>
          </a:stretch>
        </a:blipFill>
        <a:ln w="9525" cmpd="sng">
          <a:noFill/>
        </a:ln>
      </xdr:spPr>
    </xdr:pic>
    <xdr:clientData/>
  </xdr:twoCellAnchor>
  <xdr:twoCellAnchor>
    <xdr:from>
      <xdr:col>22</xdr:col>
      <xdr:colOff>762000</xdr:colOff>
      <xdr:row>40</xdr:row>
      <xdr:rowOff>95250</xdr:rowOff>
    </xdr:from>
    <xdr:to>
      <xdr:col>22</xdr:col>
      <xdr:colOff>885825</xdr:colOff>
      <xdr:row>41</xdr:row>
      <xdr:rowOff>57150</xdr:rowOff>
    </xdr:to>
    <xdr:pic>
      <xdr:nvPicPr>
        <xdr:cNvPr id="16" name="Picture 2180"/>
        <xdr:cNvPicPr preferRelativeResize="1">
          <a:picLocks noChangeAspect="1"/>
        </xdr:cNvPicPr>
      </xdr:nvPicPr>
      <xdr:blipFill>
        <a:blip r:embed="rId2"/>
        <a:stretch>
          <a:fillRect/>
        </a:stretch>
      </xdr:blipFill>
      <xdr:spPr>
        <a:xfrm>
          <a:off x="17468850" y="6600825"/>
          <a:ext cx="123825" cy="123825"/>
        </a:xfrm>
        <a:prstGeom prst="rect">
          <a:avLst/>
        </a:prstGeom>
        <a:blipFill>
          <a:blip r:embed=""/>
          <a:srcRect/>
          <a:stretch>
            <a:fillRect/>
          </a:stretch>
        </a:blipFill>
        <a:ln w="9525" cmpd="sng">
          <a:noFill/>
        </a:ln>
      </xdr:spPr>
    </xdr:pic>
    <xdr:clientData/>
  </xdr:twoCellAnchor>
  <xdr:twoCellAnchor>
    <xdr:from>
      <xdr:col>22</xdr:col>
      <xdr:colOff>666750</xdr:colOff>
      <xdr:row>14</xdr:row>
      <xdr:rowOff>28575</xdr:rowOff>
    </xdr:from>
    <xdr:to>
      <xdr:col>22</xdr:col>
      <xdr:colOff>895350</xdr:colOff>
      <xdr:row>15</xdr:row>
      <xdr:rowOff>142875</xdr:rowOff>
    </xdr:to>
    <xdr:pic>
      <xdr:nvPicPr>
        <xdr:cNvPr id="17" name="Picture 2159"/>
        <xdr:cNvPicPr preferRelativeResize="1">
          <a:picLocks noChangeAspect="1"/>
        </xdr:cNvPicPr>
      </xdr:nvPicPr>
      <xdr:blipFill>
        <a:blip r:embed="rId3"/>
        <a:stretch>
          <a:fillRect/>
        </a:stretch>
      </xdr:blipFill>
      <xdr:spPr>
        <a:xfrm>
          <a:off x="17373600" y="2324100"/>
          <a:ext cx="228600" cy="276225"/>
        </a:xfrm>
        <a:prstGeom prst="rect">
          <a:avLst/>
        </a:prstGeom>
        <a:blipFill>
          <a:blip r:embed=""/>
          <a:srcRect/>
          <a:stretch>
            <a:fillRect/>
          </a:stretch>
        </a:blipFill>
        <a:ln w="9525" cmpd="sng">
          <a:noFill/>
        </a:ln>
      </xdr:spPr>
    </xdr:pic>
    <xdr:clientData/>
  </xdr:twoCellAnchor>
  <xdr:twoCellAnchor>
    <xdr:from>
      <xdr:col>24</xdr:col>
      <xdr:colOff>914400</xdr:colOff>
      <xdr:row>40</xdr:row>
      <xdr:rowOff>85725</xdr:rowOff>
    </xdr:from>
    <xdr:to>
      <xdr:col>24</xdr:col>
      <xdr:colOff>1038225</xdr:colOff>
      <xdr:row>41</xdr:row>
      <xdr:rowOff>47625</xdr:rowOff>
    </xdr:to>
    <xdr:pic>
      <xdr:nvPicPr>
        <xdr:cNvPr id="18" name="Picture 2180"/>
        <xdr:cNvPicPr preferRelativeResize="1">
          <a:picLocks noChangeAspect="1"/>
        </xdr:cNvPicPr>
      </xdr:nvPicPr>
      <xdr:blipFill>
        <a:blip r:embed="rId2"/>
        <a:stretch>
          <a:fillRect/>
        </a:stretch>
      </xdr:blipFill>
      <xdr:spPr>
        <a:xfrm>
          <a:off x="19202400" y="6591300"/>
          <a:ext cx="123825" cy="123825"/>
        </a:xfrm>
        <a:prstGeom prst="rect">
          <a:avLst/>
        </a:prstGeom>
        <a:blipFill>
          <a:blip r:embed=""/>
          <a:srcRect/>
          <a:stretch>
            <a:fillRect/>
          </a:stretch>
        </a:blipFill>
        <a:ln w="9525" cmpd="sng">
          <a:noFill/>
        </a:ln>
      </xdr:spPr>
    </xdr:pic>
    <xdr:clientData/>
  </xdr:twoCellAnchor>
  <xdr:twoCellAnchor>
    <xdr:from>
      <xdr:col>20</xdr:col>
      <xdr:colOff>647700</xdr:colOff>
      <xdr:row>16</xdr:row>
      <xdr:rowOff>47625</xdr:rowOff>
    </xdr:from>
    <xdr:to>
      <xdr:col>20</xdr:col>
      <xdr:colOff>876300</xdr:colOff>
      <xdr:row>18</xdr:row>
      <xdr:rowOff>0</xdr:rowOff>
    </xdr:to>
    <xdr:pic>
      <xdr:nvPicPr>
        <xdr:cNvPr id="19" name="Picture 2159"/>
        <xdr:cNvPicPr preferRelativeResize="1">
          <a:picLocks noChangeAspect="1"/>
        </xdr:cNvPicPr>
      </xdr:nvPicPr>
      <xdr:blipFill>
        <a:blip r:embed="rId3"/>
        <a:stretch>
          <a:fillRect/>
        </a:stretch>
      </xdr:blipFill>
      <xdr:spPr>
        <a:xfrm>
          <a:off x="15792450" y="2667000"/>
          <a:ext cx="228600" cy="276225"/>
        </a:xfrm>
        <a:prstGeom prst="rect">
          <a:avLst/>
        </a:prstGeom>
        <a:blipFill>
          <a:blip r:embed=""/>
          <a:srcRect/>
          <a:stretch>
            <a:fillRect/>
          </a:stretch>
        </a:blipFill>
        <a:ln w="9525" cmpd="sng">
          <a:noFill/>
        </a:ln>
      </xdr:spPr>
    </xdr:pic>
    <xdr:clientData/>
  </xdr:twoCellAnchor>
  <xdr:twoCellAnchor>
    <xdr:from>
      <xdr:col>18</xdr:col>
      <xdr:colOff>723900</xdr:colOff>
      <xdr:row>20</xdr:row>
      <xdr:rowOff>19050</xdr:rowOff>
    </xdr:from>
    <xdr:to>
      <xdr:col>18</xdr:col>
      <xdr:colOff>952500</xdr:colOff>
      <xdr:row>21</xdr:row>
      <xdr:rowOff>123825</xdr:rowOff>
    </xdr:to>
    <xdr:pic>
      <xdr:nvPicPr>
        <xdr:cNvPr id="20" name="Picture 2159"/>
        <xdr:cNvPicPr preferRelativeResize="1">
          <a:picLocks noChangeAspect="1"/>
        </xdr:cNvPicPr>
      </xdr:nvPicPr>
      <xdr:blipFill>
        <a:blip r:embed="rId3"/>
        <a:stretch>
          <a:fillRect/>
        </a:stretch>
      </xdr:blipFill>
      <xdr:spPr>
        <a:xfrm>
          <a:off x="14268450" y="3286125"/>
          <a:ext cx="228600" cy="266700"/>
        </a:xfrm>
        <a:prstGeom prst="rect">
          <a:avLst/>
        </a:prstGeom>
        <a:blipFill>
          <a:blip r:embed=""/>
          <a:srcRect/>
          <a:stretch>
            <a:fillRect/>
          </a:stretch>
        </a:blipFill>
        <a:ln w="9525" cmpd="sng">
          <a:noFill/>
        </a:ln>
      </xdr:spPr>
    </xdr:pic>
    <xdr:clientData/>
  </xdr:twoCellAnchor>
  <xdr:twoCellAnchor>
    <xdr:from>
      <xdr:col>16</xdr:col>
      <xdr:colOff>619125</xdr:colOff>
      <xdr:row>20</xdr:row>
      <xdr:rowOff>19050</xdr:rowOff>
    </xdr:from>
    <xdr:to>
      <xdr:col>16</xdr:col>
      <xdr:colOff>847725</xdr:colOff>
      <xdr:row>21</xdr:row>
      <xdr:rowOff>133350</xdr:rowOff>
    </xdr:to>
    <xdr:pic>
      <xdr:nvPicPr>
        <xdr:cNvPr id="21" name="Picture 2159"/>
        <xdr:cNvPicPr preferRelativeResize="1">
          <a:picLocks noChangeAspect="1"/>
        </xdr:cNvPicPr>
      </xdr:nvPicPr>
      <xdr:blipFill>
        <a:blip r:embed="rId3"/>
        <a:stretch>
          <a:fillRect/>
        </a:stretch>
      </xdr:blipFill>
      <xdr:spPr>
        <a:xfrm>
          <a:off x="12696825" y="3286125"/>
          <a:ext cx="228600" cy="276225"/>
        </a:xfrm>
        <a:prstGeom prst="rect">
          <a:avLst/>
        </a:prstGeom>
        <a:blipFill>
          <a:blip r:embed=""/>
          <a:srcRect/>
          <a:stretch>
            <a:fillRect/>
          </a:stretch>
        </a:blipFill>
        <a:ln w="9525" cmpd="sng">
          <a:noFill/>
        </a:ln>
      </xdr:spPr>
    </xdr:pic>
    <xdr:clientData/>
  </xdr:twoCellAnchor>
  <xdr:twoCellAnchor>
    <xdr:from>
      <xdr:col>14</xdr:col>
      <xdr:colOff>695325</xdr:colOff>
      <xdr:row>22</xdr:row>
      <xdr:rowOff>9525</xdr:rowOff>
    </xdr:from>
    <xdr:to>
      <xdr:col>14</xdr:col>
      <xdr:colOff>923925</xdr:colOff>
      <xdr:row>23</xdr:row>
      <xdr:rowOff>123825</xdr:rowOff>
    </xdr:to>
    <xdr:pic>
      <xdr:nvPicPr>
        <xdr:cNvPr id="22" name="Picture 2159"/>
        <xdr:cNvPicPr preferRelativeResize="1">
          <a:picLocks noChangeAspect="1"/>
        </xdr:cNvPicPr>
      </xdr:nvPicPr>
      <xdr:blipFill>
        <a:blip r:embed="rId3"/>
        <a:stretch>
          <a:fillRect/>
        </a:stretch>
      </xdr:blipFill>
      <xdr:spPr>
        <a:xfrm>
          <a:off x="11201400" y="3600450"/>
          <a:ext cx="228600" cy="276225"/>
        </a:xfrm>
        <a:prstGeom prst="rect">
          <a:avLst/>
        </a:prstGeom>
        <a:blipFill>
          <a:blip r:embed=""/>
          <a:srcRect/>
          <a:stretch>
            <a:fillRect/>
          </a:stretch>
        </a:blipFill>
        <a:ln w="9525" cmpd="sng">
          <a:noFill/>
        </a:ln>
      </xdr:spPr>
    </xdr:pic>
    <xdr:clientData/>
  </xdr:twoCellAnchor>
  <xdr:twoCellAnchor>
    <xdr:from>
      <xdr:col>12</xdr:col>
      <xdr:colOff>752475</xdr:colOff>
      <xdr:row>24</xdr:row>
      <xdr:rowOff>66675</xdr:rowOff>
    </xdr:from>
    <xdr:to>
      <xdr:col>12</xdr:col>
      <xdr:colOff>981075</xdr:colOff>
      <xdr:row>26</xdr:row>
      <xdr:rowOff>19050</xdr:rowOff>
    </xdr:to>
    <xdr:pic>
      <xdr:nvPicPr>
        <xdr:cNvPr id="23" name="Picture 2159"/>
        <xdr:cNvPicPr preferRelativeResize="1">
          <a:picLocks noChangeAspect="1"/>
        </xdr:cNvPicPr>
      </xdr:nvPicPr>
      <xdr:blipFill>
        <a:blip r:embed="rId3"/>
        <a:stretch>
          <a:fillRect/>
        </a:stretch>
      </xdr:blipFill>
      <xdr:spPr>
        <a:xfrm>
          <a:off x="9658350" y="3981450"/>
          <a:ext cx="228600" cy="276225"/>
        </a:xfrm>
        <a:prstGeom prst="rect">
          <a:avLst/>
        </a:prstGeom>
        <a:blipFill>
          <a:blip r:embed=""/>
          <a:srcRect/>
          <a:stretch>
            <a:fillRect/>
          </a:stretch>
        </a:blipFill>
        <a:ln w="9525" cmpd="sng">
          <a:noFill/>
        </a:ln>
      </xdr:spPr>
    </xdr:pic>
    <xdr:clientData/>
  </xdr:twoCellAnchor>
  <xdr:twoCellAnchor>
    <xdr:from>
      <xdr:col>10</xdr:col>
      <xdr:colOff>571500</xdr:colOff>
      <xdr:row>26</xdr:row>
      <xdr:rowOff>28575</xdr:rowOff>
    </xdr:from>
    <xdr:to>
      <xdr:col>10</xdr:col>
      <xdr:colOff>800100</xdr:colOff>
      <xdr:row>27</xdr:row>
      <xdr:rowOff>142875</xdr:rowOff>
    </xdr:to>
    <xdr:pic>
      <xdr:nvPicPr>
        <xdr:cNvPr id="24" name="Picture 2159"/>
        <xdr:cNvPicPr preferRelativeResize="1">
          <a:picLocks noChangeAspect="1"/>
        </xdr:cNvPicPr>
      </xdr:nvPicPr>
      <xdr:blipFill>
        <a:blip r:embed="rId3"/>
        <a:stretch>
          <a:fillRect/>
        </a:stretch>
      </xdr:blipFill>
      <xdr:spPr>
        <a:xfrm>
          <a:off x="8048625" y="4267200"/>
          <a:ext cx="228600" cy="276225"/>
        </a:xfrm>
        <a:prstGeom prst="rect">
          <a:avLst/>
        </a:prstGeom>
        <a:blipFill>
          <a:blip r:embed=""/>
          <a:srcRect/>
          <a:stretch>
            <a:fillRect/>
          </a:stretch>
        </a:blipFill>
        <a:ln w="9525" cmpd="sng">
          <a:noFill/>
        </a:ln>
      </xdr:spPr>
    </xdr:pic>
    <xdr:clientData/>
  </xdr:twoCellAnchor>
  <xdr:twoCellAnchor>
    <xdr:from>
      <xdr:col>8</xdr:col>
      <xdr:colOff>609600</xdr:colOff>
      <xdr:row>22</xdr:row>
      <xdr:rowOff>38100</xdr:rowOff>
    </xdr:from>
    <xdr:to>
      <xdr:col>8</xdr:col>
      <xdr:colOff>838200</xdr:colOff>
      <xdr:row>23</xdr:row>
      <xdr:rowOff>152400</xdr:rowOff>
    </xdr:to>
    <xdr:pic>
      <xdr:nvPicPr>
        <xdr:cNvPr id="25" name="Picture 2159"/>
        <xdr:cNvPicPr preferRelativeResize="1">
          <a:picLocks noChangeAspect="1"/>
        </xdr:cNvPicPr>
      </xdr:nvPicPr>
      <xdr:blipFill>
        <a:blip r:embed="rId3"/>
        <a:stretch>
          <a:fillRect/>
        </a:stretch>
      </xdr:blipFill>
      <xdr:spPr>
        <a:xfrm>
          <a:off x="6629400" y="3629025"/>
          <a:ext cx="228600" cy="276225"/>
        </a:xfrm>
        <a:prstGeom prst="rect">
          <a:avLst/>
        </a:prstGeom>
        <a:blipFill>
          <a:blip r:embed=""/>
          <a:srcRect/>
          <a:stretch>
            <a:fillRect/>
          </a:stretch>
        </a:blipFill>
        <a:ln w="9525" cmpd="sng">
          <a:noFill/>
        </a:ln>
      </xdr:spPr>
    </xdr:pic>
    <xdr:clientData/>
  </xdr:twoCellAnchor>
  <xdr:twoCellAnchor>
    <xdr:from>
      <xdr:col>6</xdr:col>
      <xdr:colOff>619125</xdr:colOff>
      <xdr:row>26</xdr:row>
      <xdr:rowOff>38100</xdr:rowOff>
    </xdr:from>
    <xdr:to>
      <xdr:col>6</xdr:col>
      <xdr:colOff>847725</xdr:colOff>
      <xdr:row>27</xdr:row>
      <xdr:rowOff>152400</xdr:rowOff>
    </xdr:to>
    <xdr:pic>
      <xdr:nvPicPr>
        <xdr:cNvPr id="26" name="Picture 2159"/>
        <xdr:cNvPicPr preferRelativeResize="1">
          <a:picLocks noChangeAspect="1"/>
        </xdr:cNvPicPr>
      </xdr:nvPicPr>
      <xdr:blipFill>
        <a:blip r:embed="rId3"/>
        <a:stretch>
          <a:fillRect/>
        </a:stretch>
      </xdr:blipFill>
      <xdr:spPr>
        <a:xfrm>
          <a:off x="5124450" y="4276725"/>
          <a:ext cx="228600" cy="276225"/>
        </a:xfrm>
        <a:prstGeom prst="rect">
          <a:avLst/>
        </a:prstGeom>
        <a:blipFill>
          <a:blip r:embed=""/>
          <a:srcRect/>
          <a:stretch>
            <a:fillRect/>
          </a:stretch>
        </a:blipFill>
        <a:ln w="9525" cmpd="sng">
          <a:noFill/>
        </a:ln>
      </xdr:spPr>
    </xdr:pic>
    <xdr:clientData/>
  </xdr:twoCellAnchor>
  <xdr:twoCellAnchor>
    <xdr:from>
      <xdr:col>24</xdr:col>
      <xdr:colOff>838200</xdr:colOff>
      <xdr:row>12</xdr:row>
      <xdr:rowOff>9525</xdr:rowOff>
    </xdr:from>
    <xdr:to>
      <xdr:col>24</xdr:col>
      <xdr:colOff>1066800</xdr:colOff>
      <xdr:row>13</xdr:row>
      <xdr:rowOff>123825</xdr:rowOff>
    </xdr:to>
    <xdr:pic>
      <xdr:nvPicPr>
        <xdr:cNvPr id="27" name="Picture 2159"/>
        <xdr:cNvPicPr preferRelativeResize="1">
          <a:picLocks noChangeAspect="1"/>
        </xdr:cNvPicPr>
      </xdr:nvPicPr>
      <xdr:blipFill>
        <a:blip r:embed="rId3"/>
        <a:stretch>
          <a:fillRect/>
        </a:stretch>
      </xdr:blipFill>
      <xdr:spPr>
        <a:xfrm>
          <a:off x="19126200" y="1981200"/>
          <a:ext cx="228600" cy="276225"/>
        </a:xfrm>
        <a:prstGeom prst="rect">
          <a:avLst/>
        </a:prstGeom>
        <a:blipFill>
          <a:blip r:embed=""/>
          <a:srcRect/>
          <a:stretch>
            <a:fillRect/>
          </a:stretch>
        </a:blipFill>
        <a:ln w="9525" cmpd="sng">
          <a:noFill/>
        </a:ln>
      </xdr:spPr>
    </xdr:pic>
    <xdr:clientData/>
  </xdr:twoCellAnchor>
  <xdr:twoCellAnchor>
    <xdr:from>
      <xdr:col>18</xdr:col>
      <xdr:colOff>723900</xdr:colOff>
      <xdr:row>48</xdr:row>
      <xdr:rowOff>114300</xdr:rowOff>
    </xdr:from>
    <xdr:to>
      <xdr:col>18</xdr:col>
      <xdr:colOff>847725</xdr:colOff>
      <xdr:row>49</xdr:row>
      <xdr:rowOff>76200</xdr:rowOff>
    </xdr:to>
    <xdr:pic>
      <xdr:nvPicPr>
        <xdr:cNvPr id="28" name="Picture 2180"/>
        <xdr:cNvPicPr preferRelativeResize="1">
          <a:picLocks noChangeAspect="1"/>
        </xdr:cNvPicPr>
      </xdr:nvPicPr>
      <xdr:blipFill>
        <a:blip r:embed="rId2"/>
        <a:stretch>
          <a:fillRect/>
        </a:stretch>
      </xdr:blipFill>
      <xdr:spPr>
        <a:xfrm>
          <a:off x="14268450" y="7915275"/>
          <a:ext cx="123825" cy="123825"/>
        </a:xfrm>
        <a:prstGeom prst="rect">
          <a:avLst/>
        </a:prstGeom>
        <a:blipFill>
          <a:blip r:embed=""/>
          <a:srcRect/>
          <a:stretch>
            <a:fillRect/>
          </a:stretch>
        </a:blipFill>
        <a:ln w="9525" cmpd="sng">
          <a:noFill/>
        </a:ln>
      </xdr:spPr>
    </xdr:pic>
    <xdr:clientData/>
  </xdr:twoCellAnchor>
  <xdr:twoCellAnchor editAs="oneCell">
    <xdr:from>
      <xdr:col>6</xdr:col>
      <xdr:colOff>314325</xdr:colOff>
      <xdr:row>89</xdr:row>
      <xdr:rowOff>9525</xdr:rowOff>
    </xdr:from>
    <xdr:to>
      <xdr:col>12</xdr:col>
      <xdr:colOff>619125</xdr:colOff>
      <xdr:row>107</xdr:row>
      <xdr:rowOff>95250</xdr:rowOff>
    </xdr:to>
    <xdr:pic>
      <xdr:nvPicPr>
        <xdr:cNvPr id="29" name="Picture 94"/>
        <xdr:cNvPicPr preferRelativeResize="1">
          <a:picLocks noChangeAspect="1"/>
        </xdr:cNvPicPr>
      </xdr:nvPicPr>
      <xdr:blipFill>
        <a:blip r:embed="rId4"/>
        <a:stretch>
          <a:fillRect/>
        </a:stretch>
      </xdr:blipFill>
      <xdr:spPr>
        <a:xfrm>
          <a:off x="4819650" y="14468475"/>
          <a:ext cx="4705350" cy="3000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7</xdr:row>
      <xdr:rowOff>19050</xdr:rowOff>
    </xdr:from>
    <xdr:to>
      <xdr:col>26</xdr:col>
      <xdr:colOff>38100</xdr:colOff>
      <xdr:row>25</xdr:row>
      <xdr:rowOff>85725</xdr:rowOff>
    </xdr:to>
    <xdr:pic>
      <xdr:nvPicPr>
        <xdr:cNvPr id="1" name="Picture 3"/>
        <xdr:cNvPicPr preferRelativeResize="1">
          <a:picLocks noChangeAspect="1"/>
        </xdr:cNvPicPr>
      </xdr:nvPicPr>
      <xdr:blipFill>
        <a:blip r:embed="rId1"/>
        <a:stretch>
          <a:fillRect/>
        </a:stretch>
      </xdr:blipFill>
      <xdr:spPr>
        <a:xfrm>
          <a:off x="4914900" y="1152525"/>
          <a:ext cx="4705350" cy="300037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0.46725</cdr:x>
      <cdr:y>0.0245</cdr:y>
    </cdr:from>
    <cdr:to>
      <cdr:x>0.71125</cdr:x>
      <cdr:y>0.079</cdr:y>
    </cdr:to>
    <cdr:sp textlink="'8 Wo-Plan'!$B$2">
      <cdr:nvSpPr>
        <cdr:cNvPr id="1" name="TextBox 1"/>
        <cdr:cNvSpPr txBox="1">
          <a:spLocks noChangeArrowheads="1"/>
        </cdr:cNvSpPr>
      </cdr:nvSpPr>
      <cdr:spPr>
        <a:xfrm>
          <a:off x="4314825" y="133350"/>
          <a:ext cx="2257425" cy="314325"/>
        </a:xfrm>
        <a:prstGeom prst="rect">
          <a:avLst/>
        </a:prstGeom>
        <a:noFill/>
        <a:ln w="9525" cmpd="sng">
          <a:noFill/>
        </a:ln>
      </cdr:spPr>
      <cdr:txBody>
        <a:bodyPr vertOverflow="clip" wrap="square"/>
        <a:p>
          <a:pPr algn="l">
            <a:defRPr/>
          </a:pPr>
          <a:fld id="{6c4a4a93-96f9-41b4-a02c-bbdf204928e2}" type="TxLink">
            <a:rPr lang="en-US" cap="none" sz="1200" b="1" i="0" u="none" baseline="0">
              <a:latin typeface="Arial"/>
              <a:ea typeface="Arial"/>
              <a:cs typeface="Arial"/>
            </a:rPr>
            <a:t>HW am 29.08.</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495300</xdr:colOff>
      <xdr:row>0</xdr:row>
      <xdr:rowOff>0</xdr:rowOff>
    </xdr:from>
    <xdr:to>
      <xdr:col>28</xdr:col>
      <xdr:colOff>495300</xdr:colOff>
      <xdr:row>0</xdr:row>
      <xdr:rowOff>0</xdr:rowOff>
    </xdr:to>
    <xdr:pic>
      <xdr:nvPicPr>
        <xdr:cNvPr id="1" name="Picture 1279"/>
        <xdr:cNvPicPr preferRelativeResize="1">
          <a:picLocks noChangeAspect="1"/>
        </xdr:cNvPicPr>
      </xdr:nvPicPr>
      <xdr:blipFill>
        <a:blip r:embed="rId1"/>
        <a:stretch>
          <a:fillRect/>
        </a:stretch>
      </xdr:blipFill>
      <xdr:spPr>
        <a:xfrm>
          <a:off x="12706350" y="0"/>
          <a:ext cx="762000" cy="0"/>
        </a:xfrm>
        <a:prstGeom prst="rect">
          <a:avLst/>
        </a:prstGeom>
        <a:blipFill>
          <a:blip r:embed=""/>
          <a:srcRect/>
          <a:stretch>
            <a:fillRect/>
          </a:stretch>
        </a:blipFill>
        <a:ln w="9525" cmpd="sng">
          <a:noFill/>
        </a:ln>
      </xdr:spPr>
    </xdr:pic>
    <xdr:clientData/>
  </xdr:twoCellAnchor>
  <xdr:twoCellAnchor>
    <xdr:from>
      <xdr:col>1</xdr:col>
      <xdr:colOff>57150</xdr:colOff>
      <xdr:row>8</xdr:row>
      <xdr:rowOff>9525</xdr:rowOff>
    </xdr:from>
    <xdr:to>
      <xdr:col>17</xdr:col>
      <xdr:colOff>114300</xdr:colOff>
      <xdr:row>26</xdr:row>
      <xdr:rowOff>123825</xdr:rowOff>
    </xdr:to>
    <xdr:graphicFrame>
      <xdr:nvGraphicFramePr>
        <xdr:cNvPr id="2" name="Diagramm 54"/>
        <xdr:cNvGraphicFramePr/>
      </xdr:nvGraphicFramePr>
      <xdr:xfrm>
        <a:off x="981075" y="1323975"/>
        <a:ext cx="6924675" cy="30289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19</xdr:row>
      <xdr:rowOff>142875</xdr:rowOff>
    </xdr:from>
    <xdr:to>
      <xdr:col>7</xdr:col>
      <xdr:colOff>628650</xdr:colOff>
      <xdr:row>38</xdr:row>
      <xdr:rowOff>76200</xdr:rowOff>
    </xdr:to>
    <xdr:graphicFrame>
      <xdr:nvGraphicFramePr>
        <xdr:cNvPr id="1" name="Diagramm 1"/>
        <xdr:cNvGraphicFramePr/>
      </xdr:nvGraphicFramePr>
      <xdr:xfrm>
        <a:off x="123825" y="3219450"/>
        <a:ext cx="5838825" cy="300990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9525</xdr:rowOff>
    </xdr:from>
    <xdr:to>
      <xdr:col>7</xdr:col>
      <xdr:colOff>638175</xdr:colOff>
      <xdr:row>19</xdr:row>
      <xdr:rowOff>123825</xdr:rowOff>
    </xdr:to>
    <xdr:graphicFrame>
      <xdr:nvGraphicFramePr>
        <xdr:cNvPr id="2" name="Diagramm 3"/>
        <xdr:cNvGraphicFramePr/>
      </xdr:nvGraphicFramePr>
      <xdr:xfrm>
        <a:off x="114300" y="171450"/>
        <a:ext cx="5857875" cy="3028950"/>
      </xdr:xfrm>
      <a:graphic>
        <a:graphicData uri="http://schemas.openxmlformats.org/drawingml/2006/chart">
          <c:chart xmlns:c="http://schemas.openxmlformats.org/drawingml/2006/chart" r:id="rId2"/>
        </a:graphicData>
      </a:graphic>
    </xdr:graphicFrame>
    <xdr:clientData/>
  </xdr:twoCellAnchor>
  <xdr:twoCellAnchor>
    <xdr:from>
      <xdr:col>7</xdr:col>
      <xdr:colOff>704850</xdr:colOff>
      <xdr:row>1</xdr:row>
      <xdr:rowOff>28575</xdr:rowOff>
    </xdr:from>
    <xdr:to>
      <xdr:col>15</xdr:col>
      <xdr:colOff>571500</xdr:colOff>
      <xdr:row>38</xdr:row>
      <xdr:rowOff>85725</xdr:rowOff>
    </xdr:to>
    <xdr:graphicFrame>
      <xdr:nvGraphicFramePr>
        <xdr:cNvPr id="3" name="Diagramm 4"/>
        <xdr:cNvGraphicFramePr/>
      </xdr:nvGraphicFramePr>
      <xdr:xfrm>
        <a:off x="6038850" y="190500"/>
        <a:ext cx="5962650" cy="60483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723900</xdr:colOff>
      <xdr:row>41</xdr:row>
      <xdr:rowOff>114300</xdr:rowOff>
    </xdr:from>
    <xdr:to>
      <xdr:col>7</xdr:col>
      <xdr:colOff>657225</xdr:colOff>
      <xdr:row>64</xdr:row>
      <xdr:rowOff>152400</xdr:rowOff>
    </xdr:to>
    <xdr:graphicFrame>
      <xdr:nvGraphicFramePr>
        <xdr:cNvPr id="1" name="Chart 1"/>
        <xdr:cNvGraphicFramePr/>
      </xdr:nvGraphicFramePr>
      <xdr:xfrm>
        <a:off x="3143250" y="6819900"/>
        <a:ext cx="3600450" cy="37623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42</xdr:row>
      <xdr:rowOff>0</xdr:rowOff>
    </xdr:from>
    <xdr:to>
      <xdr:col>14</xdr:col>
      <xdr:colOff>676275</xdr:colOff>
      <xdr:row>65</xdr:row>
      <xdr:rowOff>47625</xdr:rowOff>
    </xdr:to>
    <xdr:graphicFrame>
      <xdr:nvGraphicFramePr>
        <xdr:cNvPr id="2" name="Chart 2"/>
        <xdr:cNvGraphicFramePr/>
      </xdr:nvGraphicFramePr>
      <xdr:xfrm>
        <a:off x="8286750" y="6867525"/>
        <a:ext cx="3609975" cy="377190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42</xdr:row>
      <xdr:rowOff>0</xdr:rowOff>
    </xdr:from>
    <xdr:to>
      <xdr:col>21</xdr:col>
      <xdr:colOff>685800</xdr:colOff>
      <xdr:row>65</xdr:row>
      <xdr:rowOff>57150</xdr:rowOff>
    </xdr:to>
    <xdr:graphicFrame>
      <xdr:nvGraphicFramePr>
        <xdr:cNvPr id="3" name="Chart 3"/>
        <xdr:cNvGraphicFramePr/>
      </xdr:nvGraphicFramePr>
      <xdr:xfrm>
        <a:off x="13420725" y="6867525"/>
        <a:ext cx="3619500" cy="3781425"/>
      </xdr:xfrm>
      <a:graphic>
        <a:graphicData uri="http://schemas.openxmlformats.org/drawingml/2006/chart">
          <c:chart xmlns:c="http://schemas.openxmlformats.org/drawingml/2006/chart" r:id="rId3"/>
        </a:graphicData>
      </a:graphic>
    </xdr:graphicFrame>
    <xdr:clientData/>
  </xdr:twoCellAnchor>
  <xdr:twoCellAnchor>
    <xdr:from>
      <xdr:col>24</xdr:col>
      <xdr:colOff>0</xdr:colOff>
      <xdr:row>42</xdr:row>
      <xdr:rowOff>0</xdr:rowOff>
    </xdr:from>
    <xdr:to>
      <xdr:col>28</xdr:col>
      <xdr:colOff>685800</xdr:colOff>
      <xdr:row>65</xdr:row>
      <xdr:rowOff>66675</xdr:rowOff>
    </xdr:to>
    <xdr:graphicFrame>
      <xdr:nvGraphicFramePr>
        <xdr:cNvPr id="4" name="Chart 4"/>
        <xdr:cNvGraphicFramePr/>
      </xdr:nvGraphicFramePr>
      <xdr:xfrm>
        <a:off x="18554700" y="6867525"/>
        <a:ext cx="3619500" cy="3790950"/>
      </xdr:xfrm>
      <a:graphic>
        <a:graphicData uri="http://schemas.openxmlformats.org/drawingml/2006/chart">
          <c:chart xmlns:c="http://schemas.openxmlformats.org/drawingml/2006/chart" r:id="rId4"/>
        </a:graphicData>
      </a:graphic>
    </xdr:graphicFrame>
    <xdr:clientData/>
  </xdr:twoCellAnchor>
  <xdr:twoCellAnchor>
    <xdr:from>
      <xdr:col>31</xdr:col>
      <xdr:colOff>0</xdr:colOff>
      <xdr:row>42</xdr:row>
      <xdr:rowOff>0</xdr:rowOff>
    </xdr:from>
    <xdr:to>
      <xdr:col>35</xdr:col>
      <xdr:colOff>695325</xdr:colOff>
      <xdr:row>65</xdr:row>
      <xdr:rowOff>76200</xdr:rowOff>
    </xdr:to>
    <xdr:graphicFrame>
      <xdr:nvGraphicFramePr>
        <xdr:cNvPr id="5" name="Chart 5"/>
        <xdr:cNvGraphicFramePr/>
      </xdr:nvGraphicFramePr>
      <xdr:xfrm>
        <a:off x="23688675" y="6867525"/>
        <a:ext cx="3629025" cy="3800475"/>
      </xdr:xfrm>
      <a:graphic>
        <a:graphicData uri="http://schemas.openxmlformats.org/drawingml/2006/chart">
          <c:chart xmlns:c="http://schemas.openxmlformats.org/drawingml/2006/chart" r:id="rId5"/>
        </a:graphicData>
      </a:graphic>
    </xdr:graphicFrame>
    <xdr:clientData/>
  </xdr:twoCellAnchor>
  <xdr:twoCellAnchor>
    <xdr:from>
      <xdr:col>38</xdr:col>
      <xdr:colOff>0</xdr:colOff>
      <xdr:row>42</xdr:row>
      <xdr:rowOff>0</xdr:rowOff>
    </xdr:from>
    <xdr:to>
      <xdr:col>42</xdr:col>
      <xdr:colOff>704850</xdr:colOff>
      <xdr:row>65</xdr:row>
      <xdr:rowOff>85725</xdr:rowOff>
    </xdr:to>
    <xdr:graphicFrame>
      <xdr:nvGraphicFramePr>
        <xdr:cNvPr id="6" name="Chart 6"/>
        <xdr:cNvGraphicFramePr/>
      </xdr:nvGraphicFramePr>
      <xdr:xfrm>
        <a:off x="28822650" y="6867525"/>
        <a:ext cx="3638550" cy="3810000"/>
      </xdr:xfrm>
      <a:graphic>
        <a:graphicData uri="http://schemas.openxmlformats.org/drawingml/2006/chart">
          <c:chart xmlns:c="http://schemas.openxmlformats.org/drawingml/2006/chart" r:id="rId6"/>
        </a:graphicData>
      </a:graphic>
    </xdr:graphicFrame>
    <xdr:clientData/>
  </xdr:twoCellAnchor>
  <xdr:twoCellAnchor>
    <xdr:from>
      <xdr:col>45</xdr:col>
      <xdr:colOff>0</xdr:colOff>
      <xdr:row>42</xdr:row>
      <xdr:rowOff>0</xdr:rowOff>
    </xdr:from>
    <xdr:to>
      <xdr:col>49</xdr:col>
      <xdr:colOff>714375</xdr:colOff>
      <xdr:row>65</xdr:row>
      <xdr:rowOff>85725</xdr:rowOff>
    </xdr:to>
    <xdr:graphicFrame>
      <xdr:nvGraphicFramePr>
        <xdr:cNvPr id="7" name="Chart 7"/>
        <xdr:cNvGraphicFramePr/>
      </xdr:nvGraphicFramePr>
      <xdr:xfrm>
        <a:off x="33956625" y="6867525"/>
        <a:ext cx="3648075" cy="3810000"/>
      </xdr:xfrm>
      <a:graphic>
        <a:graphicData uri="http://schemas.openxmlformats.org/drawingml/2006/chart">
          <c:chart xmlns:c="http://schemas.openxmlformats.org/drawingml/2006/chart" r:id="rId7"/>
        </a:graphicData>
      </a:graphic>
    </xdr:graphicFrame>
    <xdr:clientData/>
  </xdr:twoCellAnchor>
  <xdr:twoCellAnchor>
    <xdr:from>
      <xdr:col>52</xdr:col>
      <xdr:colOff>0</xdr:colOff>
      <xdr:row>42</xdr:row>
      <xdr:rowOff>0</xdr:rowOff>
    </xdr:from>
    <xdr:to>
      <xdr:col>56</xdr:col>
      <xdr:colOff>714375</xdr:colOff>
      <xdr:row>65</xdr:row>
      <xdr:rowOff>95250</xdr:rowOff>
    </xdr:to>
    <xdr:graphicFrame>
      <xdr:nvGraphicFramePr>
        <xdr:cNvPr id="8" name="Chart 8"/>
        <xdr:cNvGraphicFramePr/>
      </xdr:nvGraphicFramePr>
      <xdr:xfrm>
        <a:off x="39090600" y="6867525"/>
        <a:ext cx="3648075" cy="3819525"/>
      </xdr:xfrm>
      <a:graphic>
        <a:graphicData uri="http://schemas.openxmlformats.org/drawingml/2006/chart">
          <c:chart xmlns:c="http://schemas.openxmlformats.org/drawingml/2006/chart" r:id="rId8"/>
        </a:graphicData>
      </a:graphic>
    </xdr:graphicFrame>
    <xdr:clientData/>
  </xdr:twoCellAnchor>
  <xdr:twoCellAnchor>
    <xdr:from>
      <xdr:col>59</xdr:col>
      <xdr:colOff>0</xdr:colOff>
      <xdr:row>42</xdr:row>
      <xdr:rowOff>0</xdr:rowOff>
    </xdr:from>
    <xdr:to>
      <xdr:col>63</xdr:col>
      <xdr:colOff>723900</xdr:colOff>
      <xdr:row>65</xdr:row>
      <xdr:rowOff>104775</xdr:rowOff>
    </xdr:to>
    <xdr:graphicFrame>
      <xdr:nvGraphicFramePr>
        <xdr:cNvPr id="9" name="Chart 9"/>
        <xdr:cNvGraphicFramePr/>
      </xdr:nvGraphicFramePr>
      <xdr:xfrm>
        <a:off x="44224575" y="6867525"/>
        <a:ext cx="3657600" cy="3829050"/>
      </xdr:xfrm>
      <a:graphic>
        <a:graphicData uri="http://schemas.openxmlformats.org/drawingml/2006/chart">
          <c:chart xmlns:c="http://schemas.openxmlformats.org/drawingml/2006/chart" r:id="rId9"/>
        </a:graphicData>
      </a:graphic>
    </xdr:graphicFrame>
    <xdr:clientData/>
  </xdr:twoCellAnchor>
  <xdr:twoCellAnchor>
    <xdr:from>
      <xdr:col>66</xdr:col>
      <xdr:colOff>0</xdr:colOff>
      <xdr:row>42</xdr:row>
      <xdr:rowOff>0</xdr:rowOff>
    </xdr:from>
    <xdr:to>
      <xdr:col>71</xdr:col>
      <xdr:colOff>0</xdr:colOff>
      <xdr:row>65</xdr:row>
      <xdr:rowOff>114300</xdr:rowOff>
    </xdr:to>
    <xdr:graphicFrame>
      <xdr:nvGraphicFramePr>
        <xdr:cNvPr id="10" name="Chart 10"/>
        <xdr:cNvGraphicFramePr/>
      </xdr:nvGraphicFramePr>
      <xdr:xfrm>
        <a:off x="49358550" y="6867525"/>
        <a:ext cx="3667125" cy="3838575"/>
      </xdr:xfrm>
      <a:graphic>
        <a:graphicData uri="http://schemas.openxmlformats.org/drawingml/2006/chart">
          <c:chart xmlns:c="http://schemas.openxmlformats.org/drawingml/2006/chart" r:id="rId10"/>
        </a:graphicData>
      </a:graphic>
    </xdr:graphicFrame>
    <xdr:clientData/>
  </xdr:twoCellAnchor>
  <xdr:twoCellAnchor>
    <xdr:from>
      <xdr:col>73</xdr:col>
      <xdr:colOff>0</xdr:colOff>
      <xdr:row>42</xdr:row>
      <xdr:rowOff>0</xdr:rowOff>
    </xdr:from>
    <xdr:to>
      <xdr:col>78</xdr:col>
      <xdr:colOff>9525</xdr:colOff>
      <xdr:row>65</xdr:row>
      <xdr:rowOff>114300</xdr:rowOff>
    </xdr:to>
    <xdr:graphicFrame>
      <xdr:nvGraphicFramePr>
        <xdr:cNvPr id="11" name="Chart 11"/>
        <xdr:cNvGraphicFramePr/>
      </xdr:nvGraphicFramePr>
      <xdr:xfrm>
        <a:off x="54492525" y="6867525"/>
        <a:ext cx="3676650" cy="3838575"/>
      </xdr:xfrm>
      <a:graphic>
        <a:graphicData uri="http://schemas.openxmlformats.org/drawingml/2006/chart">
          <c:chart xmlns:c="http://schemas.openxmlformats.org/drawingml/2006/chart" r:id="rId11"/>
        </a:graphicData>
      </a:graphic>
    </xdr:graphicFrame>
    <xdr:clientData/>
  </xdr:twoCellAnchor>
  <xdr:twoCellAnchor>
    <xdr:from>
      <xdr:col>80</xdr:col>
      <xdr:colOff>0</xdr:colOff>
      <xdr:row>42</xdr:row>
      <xdr:rowOff>0</xdr:rowOff>
    </xdr:from>
    <xdr:to>
      <xdr:col>85</xdr:col>
      <xdr:colOff>19050</xdr:colOff>
      <xdr:row>65</xdr:row>
      <xdr:rowOff>123825</xdr:rowOff>
    </xdr:to>
    <xdr:graphicFrame>
      <xdr:nvGraphicFramePr>
        <xdr:cNvPr id="12" name="Chart 12"/>
        <xdr:cNvGraphicFramePr/>
      </xdr:nvGraphicFramePr>
      <xdr:xfrm>
        <a:off x="59626500" y="6867525"/>
        <a:ext cx="3686175" cy="3848100"/>
      </xdr:xfrm>
      <a:graphic>
        <a:graphicData uri="http://schemas.openxmlformats.org/drawingml/2006/chart">
          <c:chart xmlns:c="http://schemas.openxmlformats.org/drawingml/2006/chart" r:id="rId12"/>
        </a:graphicData>
      </a:graphic>
    </xdr:graphicFrame>
    <xdr:clientData/>
  </xdr:twoCellAnchor>
  <xdr:twoCellAnchor>
    <xdr:from>
      <xdr:col>87</xdr:col>
      <xdr:colOff>0</xdr:colOff>
      <xdr:row>42</xdr:row>
      <xdr:rowOff>0</xdr:rowOff>
    </xdr:from>
    <xdr:to>
      <xdr:col>92</xdr:col>
      <xdr:colOff>19050</xdr:colOff>
      <xdr:row>65</xdr:row>
      <xdr:rowOff>133350</xdr:rowOff>
    </xdr:to>
    <xdr:graphicFrame>
      <xdr:nvGraphicFramePr>
        <xdr:cNvPr id="13" name="Chart 13"/>
        <xdr:cNvGraphicFramePr/>
      </xdr:nvGraphicFramePr>
      <xdr:xfrm>
        <a:off x="64760475" y="6867525"/>
        <a:ext cx="3686175" cy="3857625"/>
      </xdr:xfrm>
      <a:graphic>
        <a:graphicData uri="http://schemas.openxmlformats.org/drawingml/2006/chart">
          <c:chart xmlns:c="http://schemas.openxmlformats.org/drawingml/2006/chart" r:id="rId13"/>
        </a:graphicData>
      </a:graphic>
    </xdr:graphicFrame>
    <xdr:clientData/>
  </xdr:twoCellAnchor>
  <xdr:twoCellAnchor>
    <xdr:from>
      <xdr:col>94</xdr:col>
      <xdr:colOff>0</xdr:colOff>
      <xdr:row>42</xdr:row>
      <xdr:rowOff>0</xdr:rowOff>
    </xdr:from>
    <xdr:to>
      <xdr:col>99</xdr:col>
      <xdr:colOff>28575</xdr:colOff>
      <xdr:row>65</xdr:row>
      <xdr:rowOff>142875</xdr:rowOff>
    </xdr:to>
    <xdr:graphicFrame>
      <xdr:nvGraphicFramePr>
        <xdr:cNvPr id="14" name="Chart 14"/>
        <xdr:cNvGraphicFramePr/>
      </xdr:nvGraphicFramePr>
      <xdr:xfrm>
        <a:off x="69894450" y="6867525"/>
        <a:ext cx="3695700" cy="3867150"/>
      </xdr:xfrm>
      <a:graphic>
        <a:graphicData uri="http://schemas.openxmlformats.org/drawingml/2006/chart">
          <c:chart xmlns:c="http://schemas.openxmlformats.org/drawingml/2006/chart" r:id="rId14"/>
        </a:graphicData>
      </a:graphic>
    </xdr:graphicFrame>
    <xdr:clientData/>
  </xdr:twoCellAnchor>
  <xdr:twoCellAnchor>
    <xdr:from>
      <xdr:col>101</xdr:col>
      <xdr:colOff>0</xdr:colOff>
      <xdr:row>42</xdr:row>
      <xdr:rowOff>0</xdr:rowOff>
    </xdr:from>
    <xdr:to>
      <xdr:col>106</xdr:col>
      <xdr:colOff>38100</xdr:colOff>
      <xdr:row>65</xdr:row>
      <xdr:rowOff>142875</xdr:rowOff>
    </xdr:to>
    <xdr:graphicFrame>
      <xdr:nvGraphicFramePr>
        <xdr:cNvPr id="15" name="Chart 15"/>
        <xdr:cNvGraphicFramePr/>
      </xdr:nvGraphicFramePr>
      <xdr:xfrm>
        <a:off x="75028425" y="6867525"/>
        <a:ext cx="3705225" cy="3867150"/>
      </xdr:xfrm>
      <a:graphic>
        <a:graphicData uri="http://schemas.openxmlformats.org/drawingml/2006/chart">
          <c:chart xmlns:c="http://schemas.openxmlformats.org/drawingml/2006/chart" r:id="rId15"/>
        </a:graphicData>
      </a:graphic>
    </xdr:graphicFrame>
    <xdr:clientData/>
  </xdr:twoCellAnchor>
  <xdr:twoCellAnchor>
    <xdr:from>
      <xdr:col>108</xdr:col>
      <xdr:colOff>0</xdr:colOff>
      <xdr:row>42</xdr:row>
      <xdr:rowOff>0</xdr:rowOff>
    </xdr:from>
    <xdr:to>
      <xdr:col>113</xdr:col>
      <xdr:colOff>47625</xdr:colOff>
      <xdr:row>65</xdr:row>
      <xdr:rowOff>152400</xdr:rowOff>
    </xdr:to>
    <xdr:graphicFrame>
      <xdr:nvGraphicFramePr>
        <xdr:cNvPr id="16" name="Chart 16"/>
        <xdr:cNvGraphicFramePr/>
      </xdr:nvGraphicFramePr>
      <xdr:xfrm>
        <a:off x="80162400" y="6867525"/>
        <a:ext cx="3714750" cy="3876675"/>
      </xdr:xfrm>
      <a:graphic>
        <a:graphicData uri="http://schemas.openxmlformats.org/drawingml/2006/chart">
          <c:chart xmlns:c="http://schemas.openxmlformats.org/drawingml/2006/chart" r:id="rId16"/>
        </a:graphicData>
      </a:graphic>
    </xdr:graphicFrame>
    <xdr:clientData/>
  </xdr:twoCellAnchor>
  <xdr:twoCellAnchor>
    <xdr:from>
      <xdr:col>115</xdr:col>
      <xdr:colOff>0</xdr:colOff>
      <xdr:row>42</xdr:row>
      <xdr:rowOff>0</xdr:rowOff>
    </xdr:from>
    <xdr:to>
      <xdr:col>120</xdr:col>
      <xdr:colOff>47625</xdr:colOff>
      <xdr:row>66</xdr:row>
      <xdr:rowOff>0</xdr:rowOff>
    </xdr:to>
    <xdr:graphicFrame>
      <xdr:nvGraphicFramePr>
        <xdr:cNvPr id="17" name="Chart 17"/>
        <xdr:cNvGraphicFramePr/>
      </xdr:nvGraphicFramePr>
      <xdr:xfrm>
        <a:off x="85296375" y="6867525"/>
        <a:ext cx="3714750" cy="3886200"/>
      </xdr:xfrm>
      <a:graphic>
        <a:graphicData uri="http://schemas.openxmlformats.org/drawingml/2006/chart">
          <c:chart xmlns:c="http://schemas.openxmlformats.org/drawingml/2006/chart" r:id="rId17"/>
        </a:graphicData>
      </a:graphic>
    </xdr:graphicFrame>
    <xdr:clientData/>
  </xdr:twoCellAnchor>
  <xdr:twoCellAnchor>
    <xdr:from>
      <xdr:col>122</xdr:col>
      <xdr:colOff>0</xdr:colOff>
      <xdr:row>42</xdr:row>
      <xdr:rowOff>0</xdr:rowOff>
    </xdr:from>
    <xdr:to>
      <xdr:col>127</xdr:col>
      <xdr:colOff>57150</xdr:colOff>
      <xdr:row>66</xdr:row>
      <xdr:rowOff>9525</xdr:rowOff>
    </xdr:to>
    <xdr:graphicFrame>
      <xdr:nvGraphicFramePr>
        <xdr:cNvPr id="18" name="Chart 18"/>
        <xdr:cNvGraphicFramePr/>
      </xdr:nvGraphicFramePr>
      <xdr:xfrm>
        <a:off x="90430350" y="6867525"/>
        <a:ext cx="3724275" cy="3895725"/>
      </xdr:xfrm>
      <a:graphic>
        <a:graphicData uri="http://schemas.openxmlformats.org/drawingml/2006/chart">
          <c:chart xmlns:c="http://schemas.openxmlformats.org/drawingml/2006/chart" r:id="rId18"/>
        </a:graphicData>
      </a:graphic>
    </xdr:graphicFrame>
    <xdr:clientData/>
  </xdr:twoCellAnchor>
  <xdr:twoCellAnchor>
    <xdr:from>
      <xdr:col>129</xdr:col>
      <xdr:colOff>0</xdr:colOff>
      <xdr:row>42</xdr:row>
      <xdr:rowOff>0</xdr:rowOff>
    </xdr:from>
    <xdr:to>
      <xdr:col>134</xdr:col>
      <xdr:colOff>66675</xdr:colOff>
      <xdr:row>66</xdr:row>
      <xdr:rowOff>19050</xdr:rowOff>
    </xdr:to>
    <xdr:graphicFrame>
      <xdr:nvGraphicFramePr>
        <xdr:cNvPr id="19" name="Chart 19"/>
        <xdr:cNvGraphicFramePr/>
      </xdr:nvGraphicFramePr>
      <xdr:xfrm>
        <a:off x="95564325" y="6867525"/>
        <a:ext cx="3733800" cy="3905250"/>
      </xdr:xfrm>
      <a:graphic>
        <a:graphicData uri="http://schemas.openxmlformats.org/drawingml/2006/chart">
          <c:chart xmlns:c="http://schemas.openxmlformats.org/drawingml/2006/chart" r:id="rId19"/>
        </a:graphicData>
      </a:graphic>
    </xdr:graphicFrame>
    <xdr:clientData/>
  </xdr:twoCellAnchor>
  <xdr:twoCellAnchor>
    <xdr:from>
      <xdr:col>136</xdr:col>
      <xdr:colOff>0</xdr:colOff>
      <xdr:row>42</xdr:row>
      <xdr:rowOff>0</xdr:rowOff>
    </xdr:from>
    <xdr:to>
      <xdr:col>141</xdr:col>
      <xdr:colOff>76200</xdr:colOff>
      <xdr:row>66</xdr:row>
      <xdr:rowOff>19050</xdr:rowOff>
    </xdr:to>
    <xdr:graphicFrame>
      <xdr:nvGraphicFramePr>
        <xdr:cNvPr id="20" name="Chart 20"/>
        <xdr:cNvGraphicFramePr/>
      </xdr:nvGraphicFramePr>
      <xdr:xfrm>
        <a:off x="100698300" y="6867525"/>
        <a:ext cx="3743325" cy="3905250"/>
      </xdr:xfrm>
      <a:graphic>
        <a:graphicData uri="http://schemas.openxmlformats.org/drawingml/2006/chart">
          <c:chart xmlns:c="http://schemas.openxmlformats.org/drawingml/2006/chart" r:id="rId20"/>
        </a:graphicData>
      </a:graphic>
    </xdr:graphicFrame>
    <xdr:clientData/>
  </xdr:twoCellAnchor>
  <xdr:twoCellAnchor>
    <xdr:from>
      <xdr:col>143</xdr:col>
      <xdr:colOff>0</xdr:colOff>
      <xdr:row>42</xdr:row>
      <xdr:rowOff>0</xdr:rowOff>
    </xdr:from>
    <xdr:to>
      <xdr:col>148</xdr:col>
      <xdr:colOff>85725</xdr:colOff>
      <xdr:row>66</xdr:row>
      <xdr:rowOff>28575</xdr:rowOff>
    </xdr:to>
    <xdr:graphicFrame>
      <xdr:nvGraphicFramePr>
        <xdr:cNvPr id="21" name="Chart 21"/>
        <xdr:cNvGraphicFramePr/>
      </xdr:nvGraphicFramePr>
      <xdr:xfrm>
        <a:off x="105832275" y="6867525"/>
        <a:ext cx="3752850" cy="3914775"/>
      </xdr:xfrm>
      <a:graphic>
        <a:graphicData uri="http://schemas.openxmlformats.org/drawingml/2006/chart">
          <c:chart xmlns:c="http://schemas.openxmlformats.org/drawingml/2006/chart" r:id="rId21"/>
        </a:graphicData>
      </a:graphic>
    </xdr:graphicFrame>
    <xdr:clientData/>
  </xdr:twoCellAnchor>
  <xdr:twoCellAnchor>
    <xdr:from>
      <xdr:col>150</xdr:col>
      <xdr:colOff>0</xdr:colOff>
      <xdr:row>42</xdr:row>
      <xdr:rowOff>0</xdr:rowOff>
    </xdr:from>
    <xdr:to>
      <xdr:col>155</xdr:col>
      <xdr:colOff>85725</xdr:colOff>
      <xdr:row>66</xdr:row>
      <xdr:rowOff>38100</xdr:rowOff>
    </xdr:to>
    <xdr:graphicFrame>
      <xdr:nvGraphicFramePr>
        <xdr:cNvPr id="22" name="Chart 22"/>
        <xdr:cNvGraphicFramePr/>
      </xdr:nvGraphicFramePr>
      <xdr:xfrm>
        <a:off x="110966250" y="6867525"/>
        <a:ext cx="3752850" cy="3924300"/>
      </xdr:xfrm>
      <a:graphic>
        <a:graphicData uri="http://schemas.openxmlformats.org/drawingml/2006/chart">
          <c:chart xmlns:c="http://schemas.openxmlformats.org/drawingml/2006/chart" r:id="rId22"/>
        </a:graphicData>
      </a:graphic>
    </xdr:graphicFrame>
    <xdr:clientData/>
  </xdr:twoCellAnchor>
  <xdr:twoCellAnchor>
    <xdr:from>
      <xdr:col>157</xdr:col>
      <xdr:colOff>0</xdr:colOff>
      <xdr:row>42</xdr:row>
      <xdr:rowOff>0</xdr:rowOff>
    </xdr:from>
    <xdr:to>
      <xdr:col>162</xdr:col>
      <xdr:colOff>95250</xdr:colOff>
      <xdr:row>66</xdr:row>
      <xdr:rowOff>47625</xdr:rowOff>
    </xdr:to>
    <xdr:graphicFrame>
      <xdr:nvGraphicFramePr>
        <xdr:cNvPr id="23" name="Chart 23"/>
        <xdr:cNvGraphicFramePr/>
      </xdr:nvGraphicFramePr>
      <xdr:xfrm>
        <a:off x="116100225" y="6867525"/>
        <a:ext cx="3762375" cy="3933825"/>
      </xdr:xfrm>
      <a:graphic>
        <a:graphicData uri="http://schemas.openxmlformats.org/drawingml/2006/chart">
          <c:chart xmlns:c="http://schemas.openxmlformats.org/drawingml/2006/chart" r:id="rId23"/>
        </a:graphicData>
      </a:graphic>
    </xdr:graphicFrame>
    <xdr:clientData/>
  </xdr:twoCellAnchor>
  <xdr:twoCellAnchor>
    <xdr:from>
      <xdr:col>164</xdr:col>
      <xdr:colOff>0</xdr:colOff>
      <xdr:row>42</xdr:row>
      <xdr:rowOff>0</xdr:rowOff>
    </xdr:from>
    <xdr:to>
      <xdr:col>169</xdr:col>
      <xdr:colOff>104775</xdr:colOff>
      <xdr:row>66</xdr:row>
      <xdr:rowOff>47625</xdr:rowOff>
    </xdr:to>
    <xdr:graphicFrame>
      <xdr:nvGraphicFramePr>
        <xdr:cNvPr id="24" name="Chart 24"/>
        <xdr:cNvGraphicFramePr/>
      </xdr:nvGraphicFramePr>
      <xdr:xfrm>
        <a:off x="121234200" y="6867525"/>
        <a:ext cx="3771900" cy="3933825"/>
      </xdr:xfrm>
      <a:graphic>
        <a:graphicData uri="http://schemas.openxmlformats.org/drawingml/2006/chart">
          <c:chart xmlns:c="http://schemas.openxmlformats.org/drawingml/2006/chart" r:id="rId24"/>
        </a:graphicData>
      </a:graphic>
    </xdr:graphicFrame>
    <xdr:clientData/>
  </xdr:twoCellAnchor>
  <xdr:twoCellAnchor>
    <xdr:from>
      <xdr:col>171</xdr:col>
      <xdr:colOff>0</xdr:colOff>
      <xdr:row>42</xdr:row>
      <xdr:rowOff>0</xdr:rowOff>
    </xdr:from>
    <xdr:to>
      <xdr:col>176</xdr:col>
      <xdr:colOff>114300</xdr:colOff>
      <xdr:row>66</xdr:row>
      <xdr:rowOff>57150</xdr:rowOff>
    </xdr:to>
    <xdr:graphicFrame>
      <xdr:nvGraphicFramePr>
        <xdr:cNvPr id="25" name="Chart 25"/>
        <xdr:cNvGraphicFramePr/>
      </xdr:nvGraphicFramePr>
      <xdr:xfrm>
        <a:off x="126368175" y="6867525"/>
        <a:ext cx="3781425" cy="3943350"/>
      </xdr:xfrm>
      <a:graphic>
        <a:graphicData uri="http://schemas.openxmlformats.org/drawingml/2006/chart">
          <c:chart xmlns:c="http://schemas.openxmlformats.org/drawingml/2006/chart" r:id="rId25"/>
        </a:graphicData>
      </a:graphic>
    </xdr:graphicFrame>
    <xdr:clientData/>
  </xdr:twoCellAnchor>
  <xdr:twoCellAnchor>
    <xdr:from>
      <xdr:col>178</xdr:col>
      <xdr:colOff>0</xdr:colOff>
      <xdr:row>42</xdr:row>
      <xdr:rowOff>0</xdr:rowOff>
    </xdr:from>
    <xdr:to>
      <xdr:col>183</xdr:col>
      <xdr:colOff>114300</xdr:colOff>
      <xdr:row>66</xdr:row>
      <xdr:rowOff>66675</xdr:rowOff>
    </xdr:to>
    <xdr:graphicFrame>
      <xdr:nvGraphicFramePr>
        <xdr:cNvPr id="26" name="Chart 26"/>
        <xdr:cNvGraphicFramePr/>
      </xdr:nvGraphicFramePr>
      <xdr:xfrm>
        <a:off x="131502150" y="6867525"/>
        <a:ext cx="3781425" cy="3952875"/>
      </xdr:xfrm>
      <a:graphic>
        <a:graphicData uri="http://schemas.openxmlformats.org/drawingml/2006/chart">
          <c:chart xmlns:c="http://schemas.openxmlformats.org/drawingml/2006/chart" r:id="rId26"/>
        </a:graphicData>
      </a:graphic>
    </xdr:graphicFrame>
    <xdr:clientData/>
  </xdr:twoCellAnchor>
  <xdr:twoCellAnchor>
    <xdr:from>
      <xdr:col>185</xdr:col>
      <xdr:colOff>0</xdr:colOff>
      <xdr:row>42</xdr:row>
      <xdr:rowOff>0</xdr:rowOff>
    </xdr:from>
    <xdr:to>
      <xdr:col>190</xdr:col>
      <xdr:colOff>123825</xdr:colOff>
      <xdr:row>66</xdr:row>
      <xdr:rowOff>76200</xdr:rowOff>
    </xdr:to>
    <xdr:graphicFrame>
      <xdr:nvGraphicFramePr>
        <xdr:cNvPr id="27" name="Chart 27"/>
        <xdr:cNvGraphicFramePr/>
      </xdr:nvGraphicFramePr>
      <xdr:xfrm>
        <a:off x="136636125" y="6867525"/>
        <a:ext cx="3790950" cy="3962400"/>
      </xdr:xfrm>
      <a:graphic>
        <a:graphicData uri="http://schemas.openxmlformats.org/drawingml/2006/chart">
          <c:chart xmlns:c="http://schemas.openxmlformats.org/drawingml/2006/chart" r:id="rId27"/>
        </a:graphicData>
      </a:graphic>
    </xdr:graphicFrame>
    <xdr:clientData/>
  </xdr:twoCellAnchor>
  <xdr:twoCellAnchor>
    <xdr:from>
      <xdr:col>3</xdr:col>
      <xdr:colOff>0</xdr:colOff>
      <xdr:row>114</xdr:row>
      <xdr:rowOff>0</xdr:rowOff>
    </xdr:from>
    <xdr:to>
      <xdr:col>7</xdr:col>
      <xdr:colOff>676275</xdr:colOff>
      <xdr:row>137</xdr:row>
      <xdr:rowOff>47625</xdr:rowOff>
    </xdr:to>
    <xdr:graphicFrame>
      <xdr:nvGraphicFramePr>
        <xdr:cNvPr id="28" name="Chart 28"/>
        <xdr:cNvGraphicFramePr/>
      </xdr:nvGraphicFramePr>
      <xdr:xfrm>
        <a:off x="3152775" y="18545175"/>
        <a:ext cx="3609975" cy="3771900"/>
      </xdr:xfrm>
      <a:graphic>
        <a:graphicData uri="http://schemas.openxmlformats.org/drawingml/2006/chart">
          <c:chart xmlns:c="http://schemas.openxmlformats.org/drawingml/2006/chart" r:id="rId28"/>
        </a:graphicData>
      </a:graphic>
    </xdr:graphicFrame>
    <xdr:clientData/>
  </xdr:twoCellAnchor>
  <xdr:twoCellAnchor>
    <xdr:from>
      <xdr:col>10</xdr:col>
      <xdr:colOff>0</xdr:colOff>
      <xdr:row>114</xdr:row>
      <xdr:rowOff>0</xdr:rowOff>
    </xdr:from>
    <xdr:to>
      <xdr:col>14</xdr:col>
      <xdr:colOff>685800</xdr:colOff>
      <xdr:row>137</xdr:row>
      <xdr:rowOff>57150</xdr:rowOff>
    </xdr:to>
    <xdr:graphicFrame>
      <xdr:nvGraphicFramePr>
        <xdr:cNvPr id="29" name="Chart 29"/>
        <xdr:cNvGraphicFramePr/>
      </xdr:nvGraphicFramePr>
      <xdr:xfrm>
        <a:off x="8286750" y="18545175"/>
        <a:ext cx="3619500" cy="3781425"/>
      </xdr:xfrm>
      <a:graphic>
        <a:graphicData uri="http://schemas.openxmlformats.org/drawingml/2006/chart">
          <c:chart xmlns:c="http://schemas.openxmlformats.org/drawingml/2006/chart" r:id="rId29"/>
        </a:graphicData>
      </a:graphic>
    </xdr:graphicFrame>
    <xdr:clientData/>
  </xdr:twoCellAnchor>
  <xdr:twoCellAnchor>
    <xdr:from>
      <xdr:col>17</xdr:col>
      <xdr:colOff>0</xdr:colOff>
      <xdr:row>114</xdr:row>
      <xdr:rowOff>0</xdr:rowOff>
    </xdr:from>
    <xdr:to>
      <xdr:col>21</xdr:col>
      <xdr:colOff>685800</xdr:colOff>
      <xdr:row>137</xdr:row>
      <xdr:rowOff>66675</xdr:rowOff>
    </xdr:to>
    <xdr:graphicFrame>
      <xdr:nvGraphicFramePr>
        <xdr:cNvPr id="30" name="Chart 30"/>
        <xdr:cNvGraphicFramePr/>
      </xdr:nvGraphicFramePr>
      <xdr:xfrm>
        <a:off x="13420725" y="18545175"/>
        <a:ext cx="3619500" cy="3790950"/>
      </xdr:xfrm>
      <a:graphic>
        <a:graphicData uri="http://schemas.openxmlformats.org/drawingml/2006/chart">
          <c:chart xmlns:c="http://schemas.openxmlformats.org/drawingml/2006/chart" r:id="rId30"/>
        </a:graphicData>
      </a:graphic>
    </xdr:graphicFrame>
    <xdr:clientData/>
  </xdr:twoCellAnchor>
  <xdr:twoCellAnchor>
    <xdr:from>
      <xdr:col>24</xdr:col>
      <xdr:colOff>0</xdr:colOff>
      <xdr:row>114</xdr:row>
      <xdr:rowOff>0</xdr:rowOff>
    </xdr:from>
    <xdr:to>
      <xdr:col>28</xdr:col>
      <xdr:colOff>695325</xdr:colOff>
      <xdr:row>137</xdr:row>
      <xdr:rowOff>76200</xdr:rowOff>
    </xdr:to>
    <xdr:graphicFrame>
      <xdr:nvGraphicFramePr>
        <xdr:cNvPr id="31" name="Chart 31"/>
        <xdr:cNvGraphicFramePr/>
      </xdr:nvGraphicFramePr>
      <xdr:xfrm>
        <a:off x="18554700" y="18545175"/>
        <a:ext cx="3629025" cy="3800475"/>
      </xdr:xfrm>
      <a:graphic>
        <a:graphicData uri="http://schemas.openxmlformats.org/drawingml/2006/chart">
          <c:chart xmlns:c="http://schemas.openxmlformats.org/drawingml/2006/chart" r:id="rId31"/>
        </a:graphicData>
      </a:graphic>
    </xdr:graphicFrame>
    <xdr:clientData/>
  </xdr:twoCellAnchor>
  <xdr:twoCellAnchor>
    <xdr:from>
      <xdr:col>31</xdr:col>
      <xdr:colOff>0</xdr:colOff>
      <xdr:row>114</xdr:row>
      <xdr:rowOff>0</xdr:rowOff>
    </xdr:from>
    <xdr:to>
      <xdr:col>35</xdr:col>
      <xdr:colOff>704850</xdr:colOff>
      <xdr:row>137</xdr:row>
      <xdr:rowOff>85725</xdr:rowOff>
    </xdr:to>
    <xdr:graphicFrame>
      <xdr:nvGraphicFramePr>
        <xdr:cNvPr id="32" name="Chart 32"/>
        <xdr:cNvGraphicFramePr/>
      </xdr:nvGraphicFramePr>
      <xdr:xfrm>
        <a:off x="23688675" y="18545175"/>
        <a:ext cx="3638550" cy="3810000"/>
      </xdr:xfrm>
      <a:graphic>
        <a:graphicData uri="http://schemas.openxmlformats.org/drawingml/2006/chart">
          <c:chart xmlns:c="http://schemas.openxmlformats.org/drawingml/2006/chart" r:id="rId32"/>
        </a:graphicData>
      </a:graphic>
    </xdr:graphicFrame>
    <xdr:clientData/>
  </xdr:twoCellAnchor>
  <xdr:twoCellAnchor>
    <xdr:from>
      <xdr:col>38</xdr:col>
      <xdr:colOff>0</xdr:colOff>
      <xdr:row>114</xdr:row>
      <xdr:rowOff>0</xdr:rowOff>
    </xdr:from>
    <xdr:to>
      <xdr:col>42</xdr:col>
      <xdr:colOff>714375</xdr:colOff>
      <xdr:row>137</xdr:row>
      <xdr:rowOff>85725</xdr:rowOff>
    </xdr:to>
    <xdr:graphicFrame>
      <xdr:nvGraphicFramePr>
        <xdr:cNvPr id="33" name="Chart 33"/>
        <xdr:cNvGraphicFramePr/>
      </xdr:nvGraphicFramePr>
      <xdr:xfrm>
        <a:off x="28822650" y="18545175"/>
        <a:ext cx="3648075" cy="3810000"/>
      </xdr:xfrm>
      <a:graphic>
        <a:graphicData uri="http://schemas.openxmlformats.org/drawingml/2006/chart">
          <c:chart xmlns:c="http://schemas.openxmlformats.org/drawingml/2006/chart" r:id="rId33"/>
        </a:graphicData>
      </a:graphic>
    </xdr:graphicFrame>
    <xdr:clientData/>
  </xdr:twoCellAnchor>
  <xdr:twoCellAnchor>
    <xdr:from>
      <xdr:col>45</xdr:col>
      <xdr:colOff>0</xdr:colOff>
      <xdr:row>114</xdr:row>
      <xdr:rowOff>0</xdr:rowOff>
    </xdr:from>
    <xdr:to>
      <xdr:col>49</xdr:col>
      <xdr:colOff>714375</xdr:colOff>
      <xdr:row>137</xdr:row>
      <xdr:rowOff>95250</xdr:rowOff>
    </xdr:to>
    <xdr:graphicFrame>
      <xdr:nvGraphicFramePr>
        <xdr:cNvPr id="34" name="Chart 34"/>
        <xdr:cNvGraphicFramePr/>
      </xdr:nvGraphicFramePr>
      <xdr:xfrm>
        <a:off x="33956625" y="18545175"/>
        <a:ext cx="3648075" cy="3819525"/>
      </xdr:xfrm>
      <a:graphic>
        <a:graphicData uri="http://schemas.openxmlformats.org/drawingml/2006/chart">
          <c:chart xmlns:c="http://schemas.openxmlformats.org/drawingml/2006/chart" r:id="rId34"/>
        </a:graphicData>
      </a:graphic>
    </xdr:graphicFrame>
    <xdr:clientData/>
  </xdr:twoCellAnchor>
  <xdr:twoCellAnchor>
    <xdr:from>
      <xdr:col>52</xdr:col>
      <xdr:colOff>0</xdr:colOff>
      <xdr:row>114</xdr:row>
      <xdr:rowOff>0</xdr:rowOff>
    </xdr:from>
    <xdr:to>
      <xdr:col>56</xdr:col>
      <xdr:colOff>723900</xdr:colOff>
      <xdr:row>137</xdr:row>
      <xdr:rowOff>104775</xdr:rowOff>
    </xdr:to>
    <xdr:graphicFrame>
      <xdr:nvGraphicFramePr>
        <xdr:cNvPr id="35" name="Chart 35"/>
        <xdr:cNvGraphicFramePr/>
      </xdr:nvGraphicFramePr>
      <xdr:xfrm>
        <a:off x="39090600" y="18545175"/>
        <a:ext cx="3657600" cy="3829050"/>
      </xdr:xfrm>
      <a:graphic>
        <a:graphicData uri="http://schemas.openxmlformats.org/drawingml/2006/chart">
          <c:chart xmlns:c="http://schemas.openxmlformats.org/drawingml/2006/chart" r:id="rId35"/>
        </a:graphicData>
      </a:graphic>
    </xdr:graphicFrame>
    <xdr:clientData/>
  </xdr:twoCellAnchor>
  <xdr:twoCellAnchor>
    <xdr:from>
      <xdr:col>59</xdr:col>
      <xdr:colOff>0</xdr:colOff>
      <xdr:row>114</xdr:row>
      <xdr:rowOff>0</xdr:rowOff>
    </xdr:from>
    <xdr:to>
      <xdr:col>64</xdr:col>
      <xdr:colOff>0</xdr:colOff>
      <xdr:row>137</xdr:row>
      <xdr:rowOff>114300</xdr:rowOff>
    </xdr:to>
    <xdr:graphicFrame>
      <xdr:nvGraphicFramePr>
        <xdr:cNvPr id="36" name="Chart 36"/>
        <xdr:cNvGraphicFramePr/>
      </xdr:nvGraphicFramePr>
      <xdr:xfrm>
        <a:off x="44224575" y="18545175"/>
        <a:ext cx="3667125" cy="3838575"/>
      </xdr:xfrm>
      <a:graphic>
        <a:graphicData uri="http://schemas.openxmlformats.org/drawingml/2006/chart">
          <c:chart xmlns:c="http://schemas.openxmlformats.org/drawingml/2006/chart" r:id="rId36"/>
        </a:graphicData>
      </a:graphic>
    </xdr:graphicFrame>
    <xdr:clientData/>
  </xdr:twoCellAnchor>
  <xdr:twoCellAnchor>
    <xdr:from>
      <xdr:col>66</xdr:col>
      <xdr:colOff>0</xdr:colOff>
      <xdr:row>114</xdr:row>
      <xdr:rowOff>0</xdr:rowOff>
    </xdr:from>
    <xdr:to>
      <xdr:col>71</xdr:col>
      <xdr:colOff>9525</xdr:colOff>
      <xdr:row>137</xdr:row>
      <xdr:rowOff>114300</xdr:rowOff>
    </xdr:to>
    <xdr:graphicFrame>
      <xdr:nvGraphicFramePr>
        <xdr:cNvPr id="37" name="Chart 37"/>
        <xdr:cNvGraphicFramePr/>
      </xdr:nvGraphicFramePr>
      <xdr:xfrm>
        <a:off x="49358550" y="18545175"/>
        <a:ext cx="3676650" cy="3838575"/>
      </xdr:xfrm>
      <a:graphic>
        <a:graphicData uri="http://schemas.openxmlformats.org/drawingml/2006/chart">
          <c:chart xmlns:c="http://schemas.openxmlformats.org/drawingml/2006/chart" r:id="rId37"/>
        </a:graphicData>
      </a:graphic>
    </xdr:graphicFrame>
    <xdr:clientData/>
  </xdr:twoCellAnchor>
  <xdr:twoCellAnchor>
    <xdr:from>
      <xdr:col>73</xdr:col>
      <xdr:colOff>0</xdr:colOff>
      <xdr:row>114</xdr:row>
      <xdr:rowOff>0</xdr:rowOff>
    </xdr:from>
    <xdr:to>
      <xdr:col>78</xdr:col>
      <xdr:colOff>19050</xdr:colOff>
      <xdr:row>137</xdr:row>
      <xdr:rowOff>123825</xdr:rowOff>
    </xdr:to>
    <xdr:graphicFrame>
      <xdr:nvGraphicFramePr>
        <xdr:cNvPr id="38" name="Chart 38"/>
        <xdr:cNvGraphicFramePr/>
      </xdr:nvGraphicFramePr>
      <xdr:xfrm>
        <a:off x="54492525" y="18545175"/>
        <a:ext cx="3686175" cy="3848100"/>
      </xdr:xfrm>
      <a:graphic>
        <a:graphicData uri="http://schemas.openxmlformats.org/drawingml/2006/chart">
          <c:chart xmlns:c="http://schemas.openxmlformats.org/drawingml/2006/chart" r:id="rId38"/>
        </a:graphicData>
      </a:graphic>
    </xdr:graphicFrame>
    <xdr:clientData/>
  </xdr:twoCellAnchor>
  <xdr:twoCellAnchor>
    <xdr:from>
      <xdr:col>80</xdr:col>
      <xdr:colOff>0</xdr:colOff>
      <xdr:row>114</xdr:row>
      <xdr:rowOff>0</xdr:rowOff>
    </xdr:from>
    <xdr:to>
      <xdr:col>85</xdr:col>
      <xdr:colOff>19050</xdr:colOff>
      <xdr:row>137</xdr:row>
      <xdr:rowOff>133350</xdr:rowOff>
    </xdr:to>
    <xdr:graphicFrame>
      <xdr:nvGraphicFramePr>
        <xdr:cNvPr id="39" name="Chart 39"/>
        <xdr:cNvGraphicFramePr/>
      </xdr:nvGraphicFramePr>
      <xdr:xfrm>
        <a:off x="59626500" y="18545175"/>
        <a:ext cx="3686175" cy="3857625"/>
      </xdr:xfrm>
      <a:graphic>
        <a:graphicData uri="http://schemas.openxmlformats.org/drawingml/2006/chart">
          <c:chart xmlns:c="http://schemas.openxmlformats.org/drawingml/2006/chart" r:id="rId39"/>
        </a:graphicData>
      </a:graphic>
    </xdr:graphicFrame>
    <xdr:clientData/>
  </xdr:twoCellAnchor>
  <xdr:twoCellAnchor>
    <xdr:from>
      <xdr:col>87</xdr:col>
      <xdr:colOff>0</xdr:colOff>
      <xdr:row>114</xdr:row>
      <xdr:rowOff>0</xdr:rowOff>
    </xdr:from>
    <xdr:to>
      <xdr:col>92</xdr:col>
      <xdr:colOff>28575</xdr:colOff>
      <xdr:row>137</xdr:row>
      <xdr:rowOff>142875</xdr:rowOff>
    </xdr:to>
    <xdr:graphicFrame>
      <xdr:nvGraphicFramePr>
        <xdr:cNvPr id="40" name="Chart 40"/>
        <xdr:cNvGraphicFramePr/>
      </xdr:nvGraphicFramePr>
      <xdr:xfrm>
        <a:off x="64760475" y="18545175"/>
        <a:ext cx="3695700" cy="3867150"/>
      </xdr:xfrm>
      <a:graphic>
        <a:graphicData uri="http://schemas.openxmlformats.org/drawingml/2006/chart">
          <c:chart xmlns:c="http://schemas.openxmlformats.org/drawingml/2006/chart" r:id="rId40"/>
        </a:graphicData>
      </a:graphic>
    </xdr:graphicFrame>
    <xdr:clientData/>
  </xdr:twoCellAnchor>
  <xdr:twoCellAnchor>
    <xdr:from>
      <xdr:col>94</xdr:col>
      <xdr:colOff>0</xdr:colOff>
      <xdr:row>114</xdr:row>
      <xdr:rowOff>0</xdr:rowOff>
    </xdr:from>
    <xdr:to>
      <xdr:col>99</xdr:col>
      <xdr:colOff>38100</xdr:colOff>
      <xdr:row>137</xdr:row>
      <xdr:rowOff>142875</xdr:rowOff>
    </xdr:to>
    <xdr:graphicFrame>
      <xdr:nvGraphicFramePr>
        <xdr:cNvPr id="41" name="Chart 41"/>
        <xdr:cNvGraphicFramePr/>
      </xdr:nvGraphicFramePr>
      <xdr:xfrm>
        <a:off x="69894450" y="18545175"/>
        <a:ext cx="3705225" cy="3867150"/>
      </xdr:xfrm>
      <a:graphic>
        <a:graphicData uri="http://schemas.openxmlformats.org/drawingml/2006/chart">
          <c:chart xmlns:c="http://schemas.openxmlformats.org/drawingml/2006/chart" r:id="rId41"/>
        </a:graphicData>
      </a:graphic>
    </xdr:graphicFrame>
    <xdr:clientData/>
  </xdr:twoCellAnchor>
  <xdr:twoCellAnchor>
    <xdr:from>
      <xdr:col>101</xdr:col>
      <xdr:colOff>0</xdr:colOff>
      <xdr:row>114</xdr:row>
      <xdr:rowOff>0</xdr:rowOff>
    </xdr:from>
    <xdr:to>
      <xdr:col>106</xdr:col>
      <xdr:colOff>47625</xdr:colOff>
      <xdr:row>137</xdr:row>
      <xdr:rowOff>152400</xdr:rowOff>
    </xdr:to>
    <xdr:graphicFrame>
      <xdr:nvGraphicFramePr>
        <xdr:cNvPr id="42" name="Chart 42"/>
        <xdr:cNvGraphicFramePr/>
      </xdr:nvGraphicFramePr>
      <xdr:xfrm>
        <a:off x="75028425" y="18545175"/>
        <a:ext cx="3714750" cy="3876675"/>
      </xdr:xfrm>
      <a:graphic>
        <a:graphicData uri="http://schemas.openxmlformats.org/drawingml/2006/chart">
          <c:chart xmlns:c="http://schemas.openxmlformats.org/drawingml/2006/chart" r:id="rId42"/>
        </a:graphicData>
      </a:graphic>
    </xdr:graphicFrame>
    <xdr:clientData/>
  </xdr:twoCellAnchor>
  <xdr:twoCellAnchor>
    <xdr:from>
      <xdr:col>108</xdr:col>
      <xdr:colOff>0</xdr:colOff>
      <xdr:row>114</xdr:row>
      <xdr:rowOff>0</xdr:rowOff>
    </xdr:from>
    <xdr:to>
      <xdr:col>113</xdr:col>
      <xdr:colOff>47625</xdr:colOff>
      <xdr:row>138</xdr:row>
      <xdr:rowOff>0</xdr:rowOff>
    </xdr:to>
    <xdr:graphicFrame>
      <xdr:nvGraphicFramePr>
        <xdr:cNvPr id="43" name="Chart 43"/>
        <xdr:cNvGraphicFramePr/>
      </xdr:nvGraphicFramePr>
      <xdr:xfrm>
        <a:off x="80162400" y="18545175"/>
        <a:ext cx="3714750" cy="3886200"/>
      </xdr:xfrm>
      <a:graphic>
        <a:graphicData uri="http://schemas.openxmlformats.org/drawingml/2006/chart">
          <c:chart xmlns:c="http://schemas.openxmlformats.org/drawingml/2006/chart" r:id="rId43"/>
        </a:graphicData>
      </a:graphic>
    </xdr:graphicFrame>
    <xdr:clientData/>
  </xdr:twoCellAnchor>
  <xdr:twoCellAnchor>
    <xdr:from>
      <xdr:col>115</xdr:col>
      <xdr:colOff>0</xdr:colOff>
      <xdr:row>114</xdr:row>
      <xdr:rowOff>0</xdr:rowOff>
    </xdr:from>
    <xdr:to>
      <xdr:col>120</xdr:col>
      <xdr:colOff>57150</xdr:colOff>
      <xdr:row>138</xdr:row>
      <xdr:rowOff>9525</xdr:rowOff>
    </xdr:to>
    <xdr:graphicFrame>
      <xdr:nvGraphicFramePr>
        <xdr:cNvPr id="44" name="Chart 44"/>
        <xdr:cNvGraphicFramePr/>
      </xdr:nvGraphicFramePr>
      <xdr:xfrm>
        <a:off x="85296375" y="18545175"/>
        <a:ext cx="3724275" cy="3895725"/>
      </xdr:xfrm>
      <a:graphic>
        <a:graphicData uri="http://schemas.openxmlformats.org/drawingml/2006/chart">
          <c:chart xmlns:c="http://schemas.openxmlformats.org/drawingml/2006/chart" r:id="rId44"/>
        </a:graphicData>
      </a:graphic>
    </xdr:graphicFrame>
    <xdr:clientData/>
  </xdr:twoCellAnchor>
  <xdr:twoCellAnchor>
    <xdr:from>
      <xdr:col>122</xdr:col>
      <xdr:colOff>0</xdr:colOff>
      <xdr:row>114</xdr:row>
      <xdr:rowOff>0</xdr:rowOff>
    </xdr:from>
    <xdr:to>
      <xdr:col>127</xdr:col>
      <xdr:colOff>66675</xdr:colOff>
      <xdr:row>138</xdr:row>
      <xdr:rowOff>19050</xdr:rowOff>
    </xdr:to>
    <xdr:graphicFrame>
      <xdr:nvGraphicFramePr>
        <xdr:cNvPr id="45" name="Chart 45"/>
        <xdr:cNvGraphicFramePr/>
      </xdr:nvGraphicFramePr>
      <xdr:xfrm>
        <a:off x="90430350" y="18545175"/>
        <a:ext cx="3733800" cy="3905250"/>
      </xdr:xfrm>
      <a:graphic>
        <a:graphicData uri="http://schemas.openxmlformats.org/drawingml/2006/chart">
          <c:chart xmlns:c="http://schemas.openxmlformats.org/drawingml/2006/chart" r:id="rId45"/>
        </a:graphicData>
      </a:graphic>
    </xdr:graphicFrame>
    <xdr:clientData/>
  </xdr:twoCellAnchor>
  <xdr:twoCellAnchor>
    <xdr:from>
      <xdr:col>129</xdr:col>
      <xdr:colOff>0</xdr:colOff>
      <xdr:row>114</xdr:row>
      <xdr:rowOff>0</xdr:rowOff>
    </xdr:from>
    <xdr:to>
      <xdr:col>134</xdr:col>
      <xdr:colOff>76200</xdr:colOff>
      <xdr:row>138</xdr:row>
      <xdr:rowOff>19050</xdr:rowOff>
    </xdr:to>
    <xdr:graphicFrame>
      <xdr:nvGraphicFramePr>
        <xdr:cNvPr id="46" name="Chart 46"/>
        <xdr:cNvGraphicFramePr/>
      </xdr:nvGraphicFramePr>
      <xdr:xfrm>
        <a:off x="95564325" y="18545175"/>
        <a:ext cx="3743325" cy="3905250"/>
      </xdr:xfrm>
      <a:graphic>
        <a:graphicData uri="http://schemas.openxmlformats.org/drawingml/2006/chart">
          <c:chart xmlns:c="http://schemas.openxmlformats.org/drawingml/2006/chart" r:id="rId46"/>
        </a:graphicData>
      </a:graphic>
    </xdr:graphicFrame>
    <xdr:clientData/>
  </xdr:twoCellAnchor>
  <xdr:twoCellAnchor>
    <xdr:from>
      <xdr:col>136</xdr:col>
      <xdr:colOff>0</xdr:colOff>
      <xdr:row>114</xdr:row>
      <xdr:rowOff>0</xdr:rowOff>
    </xdr:from>
    <xdr:to>
      <xdr:col>141</xdr:col>
      <xdr:colOff>85725</xdr:colOff>
      <xdr:row>138</xdr:row>
      <xdr:rowOff>28575</xdr:rowOff>
    </xdr:to>
    <xdr:graphicFrame>
      <xdr:nvGraphicFramePr>
        <xdr:cNvPr id="47" name="Chart 47"/>
        <xdr:cNvGraphicFramePr/>
      </xdr:nvGraphicFramePr>
      <xdr:xfrm>
        <a:off x="100698300" y="18545175"/>
        <a:ext cx="3752850" cy="3914775"/>
      </xdr:xfrm>
      <a:graphic>
        <a:graphicData uri="http://schemas.openxmlformats.org/drawingml/2006/chart">
          <c:chart xmlns:c="http://schemas.openxmlformats.org/drawingml/2006/chart" r:id="rId47"/>
        </a:graphicData>
      </a:graphic>
    </xdr:graphicFrame>
    <xdr:clientData/>
  </xdr:twoCellAnchor>
  <xdr:twoCellAnchor>
    <xdr:from>
      <xdr:col>143</xdr:col>
      <xdr:colOff>0</xdr:colOff>
      <xdr:row>114</xdr:row>
      <xdr:rowOff>0</xdr:rowOff>
    </xdr:from>
    <xdr:to>
      <xdr:col>148</xdr:col>
      <xdr:colOff>85725</xdr:colOff>
      <xdr:row>138</xdr:row>
      <xdr:rowOff>38100</xdr:rowOff>
    </xdr:to>
    <xdr:graphicFrame>
      <xdr:nvGraphicFramePr>
        <xdr:cNvPr id="48" name="Chart 48"/>
        <xdr:cNvGraphicFramePr/>
      </xdr:nvGraphicFramePr>
      <xdr:xfrm>
        <a:off x="105832275" y="18545175"/>
        <a:ext cx="3752850" cy="3924300"/>
      </xdr:xfrm>
      <a:graphic>
        <a:graphicData uri="http://schemas.openxmlformats.org/drawingml/2006/chart">
          <c:chart xmlns:c="http://schemas.openxmlformats.org/drawingml/2006/chart" r:id="rId48"/>
        </a:graphicData>
      </a:graphic>
    </xdr:graphicFrame>
    <xdr:clientData/>
  </xdr:twoCellAnchor>
  <xdr:twoCellAnchor>
    <xdr:from>
      <xdr:col>150</xdr:col>
      <xdr:colOff>0</xdr:colOff>
      <xdr:row>114</xdr:row>
      <xdr:rowOff>0</xdr:rowOff>
    </xdr:from>
    <xdr:to>
      <xdr:col>155</xdr:col>
      <xdr:colOff>95250</xdr:colOff>
      <xdr:row>138</xdr:row>
      <xdr:rowOff>47625</xdr:rowOff>
    </xdr:to>
    <xdr:graphicFrame>
      <xdr:nvGraphicFramePr>
        <xdr:cNvPr id="49" name="Chart 49"/>
        <xdr:cNvGraphicFramePr/>
      </xdr:nvGraphicFramePr>
      <xdr:xfrm>
        <a:off x="110966250" y="18545175"/>
        <a:ext cx="3762375" cy="3933825"/>
      </xdr:xfrm>
      <a:graphic>
        <a:graphicData uri="http://schemas.openxmlformats.org/drawingml/2006/chart">
          <c:chart xmlns:c="http://schemas.openxmlformats.org/drawingml/2006/chart" r:id="rId49"/>
        </a:graphicData>
      </a:graphic>
    </xdr:graphicFrame>
    <xdr:clientData/>
  </xdr:twoCellAnchor>
  <xdr:twoCellAnchor>
    <xdr:from>
      <xdr:col>157</xdr:col>
      <xdr:colOff>0</xdr:colOff>
      <xdr:row>114</xdr:row>
      <xdr:rowOff>0</xdr:rowOff>
    </xdr:from>
    <xdr:to>
      <xdr:col>162</xdr:col>
      <xdr:colOff>104775</xdr:colOff>
      <xdr:row>138</xdr:row>
      <xdr:rowOff>47625</xdr:rowOff>
    </xdr:to>
    <xdr:graphicFrame>
      <xdr:nvGraphicFramePr>
        <xdr:cNvPr id="50" name="Chart 50"/>
        <xdr:cNvGraphicFramePr/>
      </xdr:nvGraphicFramePr>
      <xdr:xfrm>
        <a:off x="116100225" y="18545175"/>
        <a:ext cx="3771900" cy="3933825"/>
      </xdr:xfrm>
      <a:graphic>
        <a:graphicData uri="http://schemas.openxmlformats.org/drawingml/2006/chart">
          <c:chart xmlns:c="http://schemas.openxmlformats.org/drawingml/2006/chart" r:id="rId50"/>
        </a:graphicData>
      </a:graphic>
    </xdr:graphicFrame>
    <xdr:clientData/>
  </xdr:twoCellAnchor>
  <xdr:twoCellAnchor>
    <xdr:from>
      <xdr:col>164</xdr:col>
      <xdr:colOff>0</xdr:colOff>
      <xdr:row>114</xdr:row>
      <xdr:rowOff>0</xdr:rowOff>
    </xdr:from>
    <xdr:to>
      <xdr:col>169</xdr:col>
      <xdr:colOff>114300</xdr:colOff>
      <xdr:row>138</xdr:row>
      <xdr:rowOff>57150</xdr:rowOff>
    </xdr:to>
    <xdr:graphicFrame>
      <xdr:nvGraphicFramePr>
        <xdr:cNvPr id="51" name="Chart 51"/>
        <xdr:cNvGraphicFramePr/>
      </xdr:nvGraphicFramePr>
      <xdr:xfrm>
        <a:off x="121234200" y="18545175"/>
        <a:ext cx="3781425" cy="3943350"/>
      </xdr:xfrm>
      <a:graphic>
        <a:graphicData uri="http://schemas.openxmlformats.org/drawingml/2006/chart">
          <c:chart xmlns:c="http://schemas.openxmlformats.org/drawingml/2006/chart" r:id="rId51"/>
        </a:graphicData>
      </a:graphic>
    </xdr:graphicFrame>
    <xdr:clientData/>
  </xdr:twoCellAnchor>
  <xdr:twoCellAnchor>
    <xdr:from>
      <xdr:col>171</xdr:col>
      <xdr:colOff>0</xdr:colOff>
      <xdr:row>114</xdr:row>
      <xdr:rowOff>0</xdr:rowOff>
    </xdr:from>
    <xdr:to>
      <xdr:col>176</xdr:col>
      <xdr:colOff>114300</xdr:colOff>
      <xdr:row>138</xdr:row>
      <xdr:rowOff>66675</xdr:rowOff>
    </xdr:to>
    <xdr:graphicFrame>
      <xdr:nvGraphicFramePr>
        <xdr:cNvPr id="52" name="Chart 52"/>
        <xdr:cNvGraphicFramePr/>
      </xdr:nvGraphicFramePr>
      <xdr:xfrm>
        <a:off x="126368175" y="18545175"/>
        <a:ext cx="3781425" cy="3952875"/>
      </xdr:xfrm>
      <a:graphic>
        <a:graphicData uri="http://schemas.openxmlformats.org/drawingml/2006/chart">
          <c:chart xmlns:c="http://schemas.openxmlformats.org/drawingml/2006/chart" r:id="rId52"/>
        </a:graphicData>
      </a:graphic>
    </xdr:graphicFrame>
    <xdr:clientData/>
  </xdr:twoCellAnchor>
  <xdr:twoCellAnchor>
    <xdr:from>
      <xdr:col>178</xdr:col>
      <xdr:colOff>0</xdr:colOff>
      <xdr:row>114</xdr:row>
      <xdr:rowOff>0</xdr:rowOff>
    </xdr:from>
    <xdr:to>
      <xdr:col>183</xdr:col>
      <xdr:colOff>123825</xdr:colOff>
      <xdr:row>138</xdr:row>
      <xdr:rowOff>76200</xdr:rowOff>
    </xdr:to>
    <xdr:graphicFrame>
      <xdr:nvGraphicFramePr>
        <xdr:cNvPr id="53" name="Chart 53"/>
        <xdr:cNvGraphicFramePr/>
      </xdr:nvGraphicFramePr>
      <xdr:xfrm>
        <a:off x="131502150" y="18545175"/>
        <a:ext cx="3790950" cy="3962400"/>
      </xdr:xfrm>
      <a:graphic>
        <a:graphicData uri="http://schemas.openxmlformats.org/drawingml/2006/chart">
          <c:chart xmlns:c="http://schemas.openxmlformats.org/drawingml/2006/chart" r:id="rId5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33</xdr:row>
      <xdr:rowOff>47625</xdr:rowOff>
    </xdr:from>
    <xdr:to>
      <xdr:col>35</xdr:col>
      <xdr:colOff>514350</xdr:colOff>
      <xdr:row>67</xdr:row>
      <xdr:rowOff>38100</xdr:rowOff>
    </xdr:to>
    <xdr:graphicFrame>
      <xdr:nvGraphicFramePr>
        <xdr:cNvPr id="1" name="Chart 1"/>
        <xdr:cNvGraphicFramePr/>
      </xdr:nvGraphicFramePr>
      <xdr:xfrm>
        <a:off x="1381125" y="5391150"/>
        <a:ext cx="27041475" cy="5495925"/>
      </xdr:xfrm>
      <a:graphic>
        <a:graphicData uri="http://schemas.openxmlformats.org/drawingml/2006/chart">
          <c:chart xmlns:c="http://schemas.openxmlformats.org/drawingml/2006/chart" r:id="rId1"/>
        </a:graphicData>
      </a:graphic>
    </xdr:graphicFrame>
    <xdr:clientData/>
  </xdr:twoCellAnchor>
  <xdr:twoCellAnchor>
    <xdr:from>
      <xdr:col>1</xdr:col>
      <xdr:colOff>323850</xdr:colOff>
      <xdr:row>68</xdr:row>
      <xdr:rowOff>104775</xdr:rowOff>
    </xdr:from>
    <xdr:to>
      <xdr:col>30</xdr:col>
      <xdr:colOff>190500</xdr:colOff>
      <xdr:row>91</xdr:row>
      <xdr:rowOff>0</xdr:rowOff>
    </xdr:to>
    <xdr:graphicFrame>
      <xdr:nvGraphicFramePr>
        <xdr:cNvPr id="2" name="Chart 3"/>
        <xdr:cNvGraphicFramePr/>
      </xdr:nvGraphicFramePr>
      <xdr:xfrm>
        <a:off x="1676400" y="11115675"/>
        <a:ext cx="22517100" cy="36195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eb\TP_Torsten_Nov-14_Okt-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P_Vorjah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Dez"/>
      <sheetName val="Jan-Feb"/>
      <sheetName val="März-April"/>
      <sheetName val="Mai-Juni"/>
      <sheetName val="Juli-Aug"/>
      <sheetName val="Sept-Okt"/>
      <sheetName val="Jahresübersicht"/>
      <sheetName val="Vergleich"/>
      <sheetName val="Planung"/>
    </sheetNames>
    <sheetDataSet>
      <sheetData sheetId="8">
        <row r="79">
          <cell r="C79" t="str">
            <v>  - Lauf- &amp; Kraftgeräteparcours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v-Dez"/>
      <sheetName val="Jan-Feb"/>
      <sheetName val="März-April"/>
      <sheetName val="Mai-Juni"/>
      <sheetName val="Juli-Aug"/>
      <sheetName val="Sept-Okt"/>
      <sheetName val="Jahresübersicht"/>
    </sheetNames>
    <sheetDataSet>
      <sheetData sheetId="6">
        <row r="2">
          <cell r="B2">
            <v>0</v>
          </cell>
          <cell r="C2">
            <v>31.5</v>
          </cell>
          <cell r="D2">
            <v>11.975000000000003</v>
          </cell>
        </row>
        <row r="3">
          <cell r="B3">
            <v>1.9249999999999998</v>
          </cell>
          <cell r="C3">
            <v>112</v>
          </cell>
          <cell r="D3">
            <v>4.95</v>
          </cell>
        </row>
        <row r="4">
          <cell r="B4">
            <v>0.5</v>
          </cell>
          <cell r="C4">
            <v>108.5</v>
          </cell>
          <cell r="D4">
            <v>13.012500000000001</v>
          </cell>
        </row>
        <row r="5">
          <cell r="B5">
            <v>1.25</v>
          </cell>
          <cell r="C5">
            <v>80.5</v>
          </cell>
          <cell r="D5">
            <v>7.424999999999999</v>
          </cell>
        </row>
        <row r="6">
          <cell r="B6">
            <v>2.9124999999999996</v>
          </cell>
          <cell r="C6">
            <v>102.5</v>
          </cell>
          <cell r="D6">
            <v>14.962499999999999</v>
          </cell>
        </row>
        <row r="7">
          <cell r="B7">
            <v>2.45</v>
          </cell>
          <cell r="C7">
            <v>108.5</v>
          </cell>
          <cell r="D7">
            <v>15.2625</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pushing-limits.de/trainingsplan/" TargetMode="External" /><Relationship Id="rId2" Type="http://schemas.openxmlformats.org/officeDocument/2006/relationships/hyperlink" Target="https://pushing-limits.de/trainingsplan/" TargetMode="External" /><Relationship Id="rId3" Type="http://schemas.openxmlformats.org/officeDocument/2006/relationships/hyperlink" Target="https://pushing-limits.de/trainingsplan/" TargetMode="External" /><Relationship Id="rId4" Type="http://schemas.openxmlformats.org/officeDocument/2006/relationships/comments" Target="../comments7.xml" /><Relationship Id="rId5" Type="http://schemas.openxmlformats.org/officeDocument/2006/relationships/vmlDrawing" Target="../drawings/vmlDrawing7.vml" /><Relationship Id="rId6" Type="http://schemas.openxmlformats.org/officeDocument/2006/relationships/drawing" Target="../drawings/drawing1.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I132"/>
  <sheetViews>
    <sheetView zoomScalePageLayoutView="0" workbookViewId="0" topLeftCell="A1">
      <pane ySplit="7" topLeftCell="BM8" activePane="bottomLeft" state="frozen"/>
      <selection pane="topLeft" activeCell="A1" sqref="A1"/>
      <selection pane="bottomLeft" activeCell="A2" sqref="A2"/>
    </sheetView>
  </sheetViews>
  <sheetFormatPr defaultColWidth="11.421875" defaultRowHeight="12.75"/>
  <cols>
    <col min="1" max="1" width="10.00390625" style="0" customWidth="1"/>
    <col min="2" max="2" width="12.421875" style="0" customWidth="1"/>
    <col min="5" max="5" width="12.00390625" style="0" customWidth="1"/>
    <col min="6" max="6" width="5.28125" style="1" customWidth="1"/>
    <col min="7" max="7" width="10.8515625" style="0" customWidth="1"/>
    <col min="8" max="8" width="12.421875" style="0" customWidth="1"/>
  </cols>
  <sheetData>
    <row r="1" spans="1:6" ht="14.25">
      <c r="A1" s="2" t="s">
        <v>238</v>
      </c>
      <c r="D1" s="3"/>
      <c r="E1" s="3"/>
      <c r="F1" s="4"/>
    </row>
    <row r="2" spans="1:6" ht="12.75">
      <c r="A2" s="5">
        <f ca="1">TODAY()</f>
        <v>44267</v>
      </c>
      <c r="B2" s="6"/>
      <c r="C2" s="6"/>
      <c r="D2" s="6"/>
      <c r="E2" s="6"/>
      <c r="F2" s="7"/>
    </row>
    <row r="3" spans="1:6" ht="12.75">
      <c r="A3" s="8"/>
      <c r="B3" s="9" t="s">
        <v>0</v>
      </c>
      <c r="C3" s="10" t="s">
        <v>1</v>
      </c>
      <c r="D3" s="11" t="s">
        <v>2</v>
      </c>
      <c r="E3" s="6"/>
      <c r="F3" s="7"/>
    </row>
    <row r="4" spans="1:6" ht="12.75">
      <c r="A4" s="8"/>
      <c r="B4" s="6"/>
      <c r="C4" s="6"/>
      <c r="D4" s="6"/>
      <c r="E4" s="6"/>
      <c r="F4" s="7"/>
    </row>
    <row r="5" spans="1:9" ht="12.75">
      <c r="A5" s="12"/>
      <c r="B5" s="13" t="s">
        <v>3</v>
      </c>
      <c r="C5" s="13" t="s">
        <v>4</v>
      </c>
      <c r="D5" s="13" t="s">
        <v>5</v>
      </c>
      <c r="E5" s="13" t="s">
        <v>6</v>
      </c>
      <c r="F5" s="14" t="s">
        <v>7</v>
      </c>
      <c r="G5" s="8"/>
      <c r="I5" s="15"/>
    </row>
    <row r="6" spans="1:9" ht="12.75">
      <c r="A6" s="12"/>
      <c r="B6" s="16" t="s">
        <v>8</v>
      </c>
      <c r="C6" s="16" t="s">
        <v>8</v>
      </c>
      <c r="D6" s="17" t="s">
        <v>8</v>
      </c>
      <c r="E6" s="18"/>
      <c r="F6" s="19" t="s">
        <v>9</v>
      </c>
      <c r="G6" s="8"/>
      <c r="I6" s="15"/>
    </row>
    <row r="7" spans="1:7" ht="13.5" thickBot="1">
      <c r="A7" s="3"/>
      <c r="B7" s="20">
        <f>SUM(B9:B200)</f>
        <v>2.3</v>
      </c>
      <c r="C7" s="20">
        <f>SUM(C9:C200)</f>
        <v>48.2</v>
      </c>
      <c r="D7" s="184">
        <f>SUM(D9:D200)</f>
        <v>7.8</v>
      </c>
      <c r="E7" s="18"/>
      <c r="F7" s="21" t="s">
        <v>10</v>
      </c>
      <c r="G7" s="8" t="s">
        <v>11</v>
      </c>
    </row>
    <row r="8" spans="1:9" ht="13.5" thickBot="1">
      <c r="A8" s="337" t="s">
        <v>12</v>
      </c>
      <c r="B8" s="24"/>
      <c r="C8" s="25"/>
      <c r="D8" s="25"/>
      <c r="E8" s="24"/>
      <c r="F8" s="26"/>
      <c r="G8" s="8"/>
      <c r="H8" s="27"/>
      <c r="I8" s="15"/>
    </row>
    <row r="9" spans="1:6" ht="13.5" thickTop="1">
      <c r="A9" s="378">
        <v>44136</v>
      </c>
      <c r="F9"/>
    </row>
    <row r="10" spans="1:6" ht="13.5" thickBot="1">
      <c r="A10" s="379"/>
      <c r="F10"/>
    </row>
    <row r="11" spans="1:7" ht="13.5" thickTop="1">
      <c r="A11" s="377">
        <f>A9+1</f>
        <v>44137</v>
      </c>
      <c r="D11" s="28">
        <v>7.8</v>
      </c>
      <c r="F11" s="238" t="s">
        <v>7</v>
      </c>
      <c r="G11" s="22" t="s">
        <v>13</v>
      </c>
    </row>
    <row r="12" spans="1:7" ht="12.75">
      <c r="A12" s="376"/>
      <c r="F12"/>
      <c r="G12" s="30"/>
    </row>
    <row r="13" spans="1:6" ht="12.75">
      <c r="A13" s="376">
        <f>A9+2</f>
        <v>44138</v>
      </c>
      <c r="F13"/>
    </row>
    <row r="14" spans="1:6" ht="12.75">
      <c r="A14" s="376"/>
      <c r="E14" s="237" t="s">
        <v>15</v>
      </c>
      <c r="F14"/>
    </row>
    <row r="15" spans="1:6" ht="12.75">
      <c r="A15" s="376">
        <f>A9+3</f>
        <v>44139</v>
      </c>
      <c r="F15"/>
    </row>
    <row r="16" spans="1:7" ht="12.75">
      <c r="A16" s="376"/>
      <c r="B16" s="232">
        <v>2.3</v>
      </c>
      <c r="F16" s="19" t="s">
        <v>9</v>
      </c>
      <c r="G16" s="22" t="s">
        <v>314</v>
      </c>
    </row>
    <row r="17" spans="1:6" ht="12.75">
      <c r="A17" s="376">
        <f>A9+4</f>
        <v>44140</v>
      </c>
      <c r="F17"/>
    </row>
    <row r="18" spans="1:6" ht="12.75">
      <c r="A18" s="376"/>
      <c r="E18" s="29" t="s">
        <v>14</v>
      </c>
      <c r="F18"/>
    </row>
    <row r="19" spans="1:6" ht="12.75">
      <c r="A19" s="376">
        <f>A9+5</f>
        <v>44141</v>
      </c>
      <c r="F19"/>
    </row>
    <row r="20" spans="1:6" ht="12.75">
      <c r="A20" s="376"/>
      <c r="F20"/>
    </row>
    <row r="21" spans="1:7" ht="12.75">
      <c r="A21" s="376">
        <f>A9+6</f>
        <v>44142</v>
      </c>
      <c r="C21" s="236">
        <v>48.2</v>
      </c>
      <c r="E21" s="233"/>
      <c r="F21" s="234" t="s">
        <v>9</v>
      </c>
      <c r="G21" s="235" t="s">
        <v>315</v>
      </c>
    </row>
    <row r="22" spans="1:6" ht="12.75">
      <c r="A22" s="376"/>
      <c r="F22"/>
    </row>
    <row r="23" spans="1:6" ht="12.75">
      <c r="A23" s="376">
        <f>A9+7</f>
        <v>44143</v>
      </c>
      <c r="F23"/>
    </row>
    <row r="24" spans="1:6" ht="12.75">
      <c r="A24" s="376"/>
      <c r="F24"/>
    </row>
    <row r="25" spans="1:6" ht="12.75">
      <c r="A25" s="376">
        <f>A9+8</f>
        <v>44144</v>
      </c>
      <c r="F25"/>
    </row>
    <row r="26" spans="1:6" ht="12.75">
      <c r="A26" s="376"/>
      <c r="F26"/>
    </row>
    <row r="27" spans="1:6" ht="12.75">
      <c r="A27" s="376">
        <f>A9+9</f>
        <v>44145</v>
      </c>
      <c r="F27"/>
    </row>
    <row r="28" spans="1:6" ht="12.75">
      <c r="A28" s="376"/>
      <c r="F28"/>
    </row>
    <row r="29" spans="1:6" ht="12.75">
      <c r="A29" s="376">
        <f>A9+10</f>
        <v>44146</v>
      </c>
      <c r="F29"/>
    </row>
    <row r="30" spans="1:6" ht="12.75">
      <c r="A30" s="376"/>
      <c r="F30"/>
    </row>
    <row r="31" spans="1:6" ht="12.75">
      <c r="A31" s="376">
        <f>A9+11</f>
        <v>44147</v>
      </c>
      <c r="F31"/>
    </row>
    <row r="32" spans="1:6" ht="12.75">
      <c r="A32" s="376"/>
      <c r="F32"/>
    </row>
    <row r="33" spans="1:6" ht="12.75">
      <c r="A33" s="376">
        <f>A9+12</f>
        <v>44148</v>
      </c>
      <c r="F33"/>
    </row>
    <row r="34" spans="1:6" ht="12.75">
      <c r="A34" s="376"/>
      <c r="F34"/>
    </row>
    <row r="35" spans="1:6" ht="12.75">
      <c r="A35" s="376">
        <f>A9+13</f>
        <v>44149</v>
      </c>
      <c r="F35"/>
    </row>
    <row r="36" spans="1:6" ht="12.75">
      <c r="A36" s="376"/>
      <c r="F36"/>
    </row>
    <row r="37" spans="1:6" ht="12.75">
      <c r="A37" s="376">
        <f>A9+14</f>
        <v>44150</v>
      </c>
      <c r="F37"/>
    </row>
    <row r="38" spans="1:6" ht="12.75">
      <c r="A38" s="376"/>
      <c r="F38"/>
    </row>
    <row r="39" spans="1:6" ht="12.75">
      <c r="A39" s="376">
        <f>A9+15</f>
        <v>44151</v>
      </c>
      <c r="F39"/>
    </row>
    <row r="40" spans="1:6" ht="12.75">
      <c r="A40" s="376"/>
      <c r="F40"/>
    </row>
    <row r="41" spans="1:6" ht="12.75">
      <c r="A41" s="376">
        <f>A9+16</f>
        <v>44152</v>
      </c>
      <c r="F41"/>
    </row>
    <row r="42" spans="1:6" ht="12.75">
      <c r="A42" s="376"/>
      <c r="F42"/>
    </row>
    <row r="43" spans="1:6" ht="12.75">
      <c r="A43" s="376">
        <f>A9+17</f>
        <v>44153</v>
      </c>
      <c r="F43"/>
    </row>
    <row r="44" spans="1:6" ht="12.75">
      <c r="A44" s="376"/>
      <c r="F44"/>
    </row>
    <row r="45" spans="1:6" ht="12.75">
      <c r="A45" s="376">
        <f>A9+18</f>
        <v>44154</v>
      </c>
      <c r="F45"/>
    </row>
    <row r="46" spans="1:6" ht="12.75">
      <c r="A46" s="376"/>
      <c r="F46"/>
    </row>
    <row r="47" spans="1:6" ht="12.75">
      <c r="A47" s="376">
        <f>A9+19</f>
        <v>44155</v>
      </c>
      <c r="F47"/>
    </row>
    <row r="48" spans="1:6" ht="12.75">
      <c r="A48" s="376"/>
      <c r="F48"/>
    </row>
    <row r="49" spans="1:6" ht="12.75">
      <c r="A49" s="376">
        <f>A9+20</f>
        <v>44156</v>
      </c>
      <c r="F49"/>
    </row>
    <row r="50" spans="1:6" ht="12.75">
      <c r="A50" s="376"/>
      <c r="F50"/>
    </row>
    <row r="51" spans="1:6" ht="12.75">
      <c r="A51" s="376">
        <f>A9+21</f>
        <v>44157</v>
      </c>
      <c r="F51"/>
    </row>
    <row r="52" spans="1:6" ht="12.75">
      <c r="A52" s="376"/>
      <c r="F52"/>
    </row>
    <row r="53" spans="1:6" ht="12.75">
      <c r="A53" s="376">
        <f>A9+22</f>
        <v>44158</v>
      </c>
      <c r="F53"/>
    </row>
    <row r="54" spans="1:6" ht="12.75">
      <c r="A54" s="376"/>
      <c r="F54"/>
    </row>
    <row r="55" spans="1:6" ht="12.75">
      <c r="A55" s="376">
        <f>A9+23</f>
        <v>44159</v>
      </c>
      <c r="F55"/>
    </row>
    <row r="56" spans="1:6" ht="12.75">
      <c r="A56" s="376"/>
      <c r="F56"/>
    </row>
    <row r="57" spans="1:6" ht="12.75">
      <c r="A57" s="376">
        <f>A9+24</f>
        <v>44160</v>
      </c>
      <c r="F57"/>
    </row>
    <row r="58" spans="1:6" ht="12.75">
      <c r="A58" s="376"/>
      <c r="F58"/>
    </row>
    <row r="59" spans="1:6" ht="12.75">
      <c r="A59" s="376">
        <f>A9+25</f>
        <v>44161</v>
      </c>
      <c r="F59"/>
    </row>
    <row r="60" spans="1:6" ht="12.75">
      <c r="A60" s="376"/>
      <c r="F60"/>
    </row>
    <row r="61" spans="1:6" ht="12.75">
      <c r="A61" s="376">
        <f>A9+26</f>
        <v>44162</v>
      </c>
      <c r="F61"/>
    </row>
    <row r="62" spans="1:6" ht="12.75">
      <c r="A62" s="376"/>
      <c r="F62"/>
    </row>
    <row r="63" spans="1:6" ht="12.75">
      <c r="A63" s="376">
        <f>A9+27</f>
        <v>44163</v>
      </c>
      <c r="F63"/>
    </row>
    <row r="64" spans="1:6" ht="12.75">
      <c r="A64" s="376"/>
      <c r="F64"/>
    </row>
    <row r="65" spans="1:6" ht="12.75">
      <c r="A65" s="376">
        <f>A9+28</f>
        <v>44164</v>
      </c>
      <c r="F65"/>
    </row>
    <row r="66" spans="1:6" ht="12.75">
      <c r="A66" s="376"/>
      <c r="F66"/>
    </row>
    <row r="67" spans="1:6" ht="12.75">
      <c r="A67" s="376">
        <f>A9+29</f>
        <v>44165</v>
      </c>
      <c r="F67"/>
    </row>
    <row r="68" spans="1:6" ht="12.75">
      <c r="A68" s="376"/>
      <c r="F68"/>
    </row>
    <row r="69" spans="1:6" ht="12.75">
      <c r="A69" s="31"/>
      <c r="F69"/>
    </row>
    <row r="70" spans="1:6" ht="12.75">
      <c r="A70" s="23" t="s">
        <v>16</v>
      </c>
      <c r="F70"/>
    </row>
    <row r="71" spans="1:6" ht="12.75">
      <c r="A71" s="377">
        <f>A9+30</f>
        <v>44166</v>
      </c>
      <c r="F71"/>
    </row>
    <row r="72" spans="1:6" ht="12.75">
      <c r="A72" s="377"/>
      <c r="F72"/>
    </row>
    <row r="73" spans="1:6" ht="12.75">
      <c r="A73" s="376">
        <f>A9+31</f>
        <v>44167</v>
      </c>
      <c r="F73"/>
    </row>
    <row r="74" spans="1:6" ht="12.75">
      <c r="A74" s="376"/>
      <c r="F74"/>
    </row>
    <row r="75" spans="1:6" ht="12.75">
      <c r="A75" s="376">
        <f>A9+32</f>
        <v>44168</v>
      </c>
      <c r="F75"/>
    </row>
    <row r="76" spans="1:6" ht="12.75">
      <c r="A76" s="376"/>
      <c r="F76"/>
    </row>
    <row r="77" spans="1:6" ht="12.75">
      <c r="A77" s="376">
        <f>A9+33</f>
        <v>44169</v>
      </c>
      <c r="F77"/>
    </row>
    <row r="78" spans="1:6" ht="12.75">
      <c r="A78" s="376"/>
      <c r="F78"/>
    </row>
    <row r="79" spans="1:6" ht="12.75">
      <c r="A79" s="376">
        <f>A9+34</f>
        <v>44170</v>
      </c>
      <c r="F79"/>
    </row>
    <row r="80" spans="1:6" ht="12.75">
      <c r="A80" s="376"/>
      <c r="F80"/>
    </row>
    <row r="81" spans="1:6" ht="12.75">
      <c r="A81" s="376">
        <f>A9+35</f>
        <v>44171</v>
      </c>
      <c r="F81"/>
    </row>
    <row r="82" spans="1:6" ht="12.75">
      <c r="A82" s="376"/>
      <c r="F82"/>
    </row>
    <row r="83" spans="1:6" ht="12.75">
      <c r="A83" s="376">
        <f>A9+36</f>
        <v>44172</v>
      </c>
      <c r="F83"/>
    </row>
    <row r="84" spans="1:6" ht="12.75">
      <c r="A84" s="376"/>
      <c r="F84"/>
    </row>
    <row r="85" spans="1:6" ht="12.75">
      <c r="A85" s="376">
        <f>A9+37</f>
        <v>44173</v>
      </c>
      <c r="F85"/>
    </row>
    <row r="86" spans="1:6" ht="12.75">
      <c r="A86" s="376"/>
      <c r="F86"/>
    </row>
    <row r="87" spans="1:6" ht="12.75">
      <c r="A87" s="376">
        <f>A9+38</f>
        <v>44174</v>
      </c>
      <c r="F87"/>
    </row>
    <row r="88" spans="1:6" ht="12.75">
      <c r="A88" s="376"/>
      <c r="F88"/>
    </row>
    <row r="89" spans="1:6" ht="12.75">
      <c r="A89" s="376">
        <f>A9+39</f>
        <v>44175</v>
      </c>
      <c r="F89"/>
    </row>
    <row r="90" spans="1:6" ht="12.75">
      <c r="A90" s="376"/>
      <c r="F90"/>
    </row>
    <row r="91" spans="1:6" ht="12.75">
      <c r="A91" s="376">
        <f>A9+40</f>
        <v>44176</v>
      </c>
      <c r="F91"/>
    </row>
    <row r="92" spans="1:6" ht="12.75">
      <c r="A92" s="376"/>
      <c r="F92"/>
    </row>
    <row r="93" spans="1:6" ht="12.75">
      <c r="A93" s="376">
        <f>A9+41</f>
        <v>44177</v>
      </c>
      <c r="F93"/>
    </row>
    <row r="94" spans="1:6" ht="12.75">
      <c r="A94" s="376"/>
      <c r="F94"/>
    </row>
    <row r="95" spans="1:6" ht="12.75">
      <c r="A95" s="376">
        <f>A9+42</f>
        <v>44178</v>
      </c>
      <c r="F95"/>
    </row>
    <row r="96" spans="1:6" ht="12.75">
      <c r="A96" s="376"/>
      <c r="F96"/>
    </row>
    <row r="97" spans="1:6" ht="12.75">
      <c r="A97" s="376">
        <f>A9+43</f>
        <v>44179</v>
      </c>
      <c r="F97"/>
    </row>
    <row r="98" spans="1:6" ht="12.75">
      <c r="A98" s="376"/>
      <c r="F98"/>
    </row>
    <row r="99" spans="1:6" ht="12.75">
      <c r="A99" s="376">
        <f>A9+44</f>
        <v>44180</v>
      </c>
      <c r="F99"/>
    </row>
    <row r="100" spans="1:6" ht="12.75">
      <c r="A100" s="376"/>
      <c r="F100"/>
    </row>
    <row r="101" spans="1:6" ht="12.75">
      <c r="A101" s="376">
        <f>A9+45</f>
        <v>44181</v>
      </c>
      <c r="F101"/>
    </row>
    <row r="102" spans="1:6" ht="12.75">
      <c r="A102" s="376"/>
      <c r="F102"/>
    </row>
    <row r="103" spans="1:6" ht="12.75">
      <c r="A103" s="376">
        <f>A9+46</f>
        <v>44182</v>
      </c>
      <c r="F103"/>
    </row>
    <row r="104" spans="1:6" ht="12.75">
      <c r="A104" s="376"/>
      <c r="F104"/>
    </row>
    <row r="105" spans="1:6" ht="12.75">
      <c r="A105" s="376">
        <f>A9+47</f>
        <v>44183</v>
      </c>
      <c r="F105"/>
    </row>
    <row r="106" spans="1:6" ht="12.75">
      <c r="A106" s="376"/>
      <c r="F106"/>
    </row>
    <row r="107" spans="1:6" ht="12.75">
      <c r="A107" s="376">
        <f>A9+48</f>
        <v>44184</v>
      </c>
      <c r="F107"/>
    </row>
    <row r="108" spans="1:6" ht="12.75">
      <c r="A108" s="376"/>
      <c r="F108"/>
    </row>
    <row r="109" spans="1:6" ht="12.75">
      <c r="A109" s="376">
        <f>A9+49</f>
        <v>44185</v>
      </c>
      <c r="F109"/>
    </row>
    <row r="110" spans="1:6" ht="12.75">
      <c r="A110" s="376"/>
      <c r="F110"/>
    </row>
    <row r="111" spans="1:6" ht="12.75">
      <c r="A111" s="376">
        <f>A9+50</f>
        <v>44186</v>
      </c>
      <c r="F111"/>
    </row>
    <row r="112" spans="1:6" ht="12.75">
      <c r="A112" s="376"/>
      <c r="F112"/>
    </row>
    <row r="113" spans="1:6" ht="12.75">
      <c r="A113" s="376">
        <f>A9+51</f>
        <v>44187</v>
      </c>
      <c r="F113"/>
    </row>
    <row r="114" spans="1:6" ht="12.75">
      <c r="A114" s="376"/>
      <c r="F114"/>
    </row>
    <row r="115" spans="1:6" ht="12.75">
      <c r="A115" s="376">
        <f>A9+52</f>
        <v>44188</v>
      </c>
      <c r="F115"/>
    </row>
    <row r="116" spans="1:6" ht="12.75">
      <c r="A116" s="376"/>
      <c r="F116"/>
    </row>
    <row r="117" spans="1:6" ht="12.75">
      <c r="A117" s="376">
        <f>A9+53</f>
        <v>44189</v>
      </c>
      <c r="F117"/>
    </row>
    <row r="118" spans="1:6" ht="12.75">
      <c r="A118" s="376"/>
      <c r="F118"/>
    </row>
    <row r="119" spans="1:6" ht="12.75">
      <c r="A119" s="376">
        <f>A9+54</f>
        <v>44190</v>
      </c>
      <c r="F119"/>
    </row>
    <row r="120" spans="1:6" ht="12.75">
      <c r="A120" s="376"/>
      <c r="F120"/>
    </row>
    <row r="121" spans="1:6" ht="12.75">
      <c r="A121" s="376">
        <f>A9+55</f>
        <v>44191</v>
      </c>
      <c r="F121"/>
    </row>
    <row r="122" spans="1:6" ht="12.75">
      <c r="A122" s="376"/>
      <c r="F122"/>
    </row>
    <row r="123" spans="1:6" ht="12.75">
      <c r="A123" s="376">
        <f>A9+56</f>
        <v>44192</v>
      </c>
      <c r="F123"/>
    </row>
    <row r="124" spans="1:6" ht="12.75">
      <c r="A124" s="376"/>
      <c r="F124"/>
    </row>
    <row r="125" spans="1:6" ht="12.75">
      <c r="A125" s="376">
        <f>A9+57</f>
        <v>44193</v>
      </c>
      <c r="F125"/>
    </row>
    <row r="126" spans="1:6" ht="12.75">
      <c r="A126" s="376"/>
      <c r="F126"/>
    </row>
    <row r="127" spans="1:6" ht="12.75">
      <c r="A127" s="376">
        <f>A9+58</f>
        <v>44194</v>
      </c>
      <c r="F127"/>
    </row>
    <row r="128" spans="1:6" ht="12.75">
      <c r="A128" s="376"/>
      <c r="F128"/>
    </row>
    <row r="129" spans="1:6" ht="12.75">
      <c r="A129" s="376">
        <f>A9+59</f>
        <v>44195</v>
      </c>
      <c r="F129"/>
    </row>
    <row r="130" spans="1:6" ht="12.75">
      <c r="A130" s="376"/>
      <c r="F130"/>
    </row>
    <row r="131" spans="1:6" ht="12.75">
      <c r="A131" s="375">
        <f>A9+60</f>
        <v>44196</v>
      </c>
      <c r="F131"/>
    </row>
    <row r="132" spans="1:6" ht="12.75">
      <c r="A132" s="375"/>
      <c r="F132"/>
    </row>
  </sheetData>
  <sheetProtection selectLockedCells="1" selectUnlockedCells="1"/>
  <mergeCells count="61">
    <mergeCell ref="A17:A18"/>
    <mergeCell ref="A19:A20"/>
    <mergeCell ref="A9:A10"/>
    <mergeCell ref="A11:A12"/>
    <mergeCell ref="A13:A14"/>
    <mergeCell ref="A15:A16"/>
    <mergeCell ref="A41:A42"/>
    <mergeCell ref="A43:A44"/>
    <mergeCell ref="A21:A22"/>
    <mergeCell ref="A23:A24"/>
    <mergeCell ref="A25:A26"/>
    <mergeCell ref="A27:A28"/>
    <mergeCell ref="A29:A30"/>
    <mergeCell ref="A31:A32"/>
    <mergeCell ref="A33:A34"/>
    <mergeCell ref="A35:A36"/>
    <mergeCell ref="A37:A38"/>
    <mergeCell ref="A39:A40"/>
    <mergeCell ref="A65:A66"/>
    <mergeCell ref="A67:A68"/>
    <mergeCell ref="A45:A46"/>
    <mergeCell ref="A47:A48"/>
    <mergeCell ref="A49:A50"/>
    <mergeCell ref="A51:A52"/>
    <mergeCell ref="A53:A54"/>
    <mergeCell ref="A55:A56"/>
    <mergeCell ref="A57:A58"/>
    <mergeCell ref="A59:A60"/>
    <mergeCell ref="A61:A62"/>
    <mergeCell ref="A63:A64"/>
    <mergeCell ref="A91:A92"/>
    <mergeCell ref="A93:A94"/>
    <mergeCell ref="A71:A72"/>
    <mergeCell ref="A73:A74"/>
    <mergeCell ref="A75:A76"/>
    <mergeCell ref="A77:A78"/>
    <mergeCell ref="A79:A80"/>
    <mergeCell ref="A81:A82"/>
    <mergeCell ref="A83:A84"/>
    <mergeCell ref="A85:A86"/>
    <mergeCell ref="A87:A88"/>
    <mergeCell ref="A89:A90"/>
    <mergeCell ref="A115:A116"/>
    <mergeCell ref="A117:A118"/>
    <mergeCell ref="A95:A96"/>
    <mergeCell ref="A97:A98"/>
    <mergeCell ref="A99:A100"/>
    <mergeCell ref="A101:A102"/>
    <mergeCell ref="A103:A104"/>
    <mergeCell ref="A105:A106"/>
    <mergeCell ref="A107:A108"/>
    <mergeCell ref="A109:A110"/>
    <mergeCell ref="A111:A112"/>
    <mergeCell ref="A113:A114"/>
    <mergeCell ref="A131:A132"/>
    <mergeCell ref="A119:A120"/>
    <mergeCell ref="A121:A122"/>
    <mergeCell ref="A123:A124"/>
    <mergeCell ref="A125:A126"/>
    <mergeCell ref="A127:A128"/>
    <mergeCell ref="A129:A130"/>
  </mergeCells>
  <conditionalFormatting sqref="A9:A69 A71:A132">
    <cfRule type="cellIs" priority="1" dxfId="3" operator="equal" stopIfTrue="1">
      <formula>1</formula>
    </cfRule>
    <cfRule type="cellIs" priority="2" dxfId="2" operator="equal" stopIfTrue="1">
      <formula>7</formula>
    </cfRule>
  </conditionalFormatting>
  <printOptions/>
  <pageMargins left="0.7875" right="0.7875" top="0.9840277777777777" bottom="0.9840277777777777" header="0.5118055555555555" footer="0.5118055555555555"/>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N100"/>
  <sheetViews>
    <sheetView zoomScalePageLayoutView="0" workbookViewId="0" topLeftCell="A1">
      <selection activeCell="Q36" sqref="Q36"/>
    </sheetView>
  </sheetViews>
  <sheetFormatPr defaultColWidth="11.421875" defaultRowHeight="12.75"/>
  <sheetData>
    <row r="1" spans="2:13" ht="12.75">
      <c r="B1" s="43" t="s">
        <v>3</v>
      </c>
      <c r="C1" s="43" t="s">
        <v>4</v>
      </c>
      <c r="D1" s="43" t="s">
        <v>5</v>
      </c>
      <c r="H1" s="44" t="s">
        <v>34</v>
      </c>
      <c r="I1" s="45">
        <f ca="1">TODAY()</f>
        <v>44267</v>
      </c>
      <c r="L1" s="46"/>
      <c r="M1" s="46"/>
    </row>
    <row r="2" spans="1:13" ht="12.75">
      <c r="A2" s="47" t="s">
        <v>35</v>
      </c>
      <c r="B2" s="46">
        <f>'Nov-Dez'!B7/8</f>
        <v>0.2875</v>
      </c>
      <c r="C2" s="46">
        <f>'Nov-Dez'!C7/8</f>
        <v>6.025</v>
      </c>
      <c r="D2" s="46">
        <f>'Nov-Dez'!D7/8</f>
        <v>0.975</v>
      </c>
      <c r="E2" s="22" t="s">
        <v>36</v>
      </c>
      <c r="L2" s="46"/>
      <c r="M2" s="46"/>
    </row>
    <row r="3" spans="1:13" ht="12.75">
      <c r="A3" s="47" t="s">
        <v>37</v>
      </c>
      <c r="B3" s="46">
        <f>'Jan-Feb'!B7/8</f>
        <v>0</v>
      </c>
      <c r="C3" s="46">
        <f>'Jan-Feb'!C7/8</f>
        <v>0</v>
      </c>
      <c r="D3" s="46">
        <f>'Jan-Feb'!D7/8</f>
        <v>0</v>
      </c>
      <c r="E3" s="22" t="s">
        <v>36</v>
      </c>
      <c r="L3" s="46"/>
      <c r="M3" s="46"/>
    </row>
    <row r="4" spans="1:13" ht="12.75">
      <c r="A4" s="47" t="s">
        <v>38</v>
      </c>
      <c r="B4" s="46">
        <f>'März-April'!B7/8</f>
        <v>0</v>
      </c>
      <c r="C4" s="46">
        <f>'März-April'!C7/8</f>
        <v>0</v>
      </c>
      <c r="D4" s="46">
        <f>'März-April'!D7/8</f>
        <v>0</v>
      </c>
      <c r="E4" s="22" t="s">
        <v>36</v>
      </c>
      <c r="L4" s="46"/>
      <c r="M4" s="46"/>
    </row>
    <row r="5" spans="1:13" ht="12.75">
      <c r="A5" s="47" t="s">
        <v>39</v>
      </c>
      <c r="B5" s="46">
        <f>'Mai-Juni'!B7/8</f>
        <v>0</v>
      </c>
      <c r="C5" s="46">
        <f>'Mai-Juni'!C7/8</f>
        <v>0</v>
      </c>
      <c r="D5" s="46">
        <f>'Mai-Juni'!D7/8</f>
        <v>0</v>
      </c>
      <c r="E5" s="22" t="s">
        <v>36</v>
      </c>
      <c r="L5" s="46"/>
      <c r="M5" s="46"/>
    </row>
    <row r="6" spans="1:13" ht="12.75">
      <c r="A6" s="47" t="s">
        <v>40</v>
      </c>
      <c r="B6" s="46">
        <f>'Juli-Aug'!B7/8</f>
        <v>0</v>
      </c>
      <c r="C6" s="46">
        <f>'Juli-Aug'!C7/8</f>
        <v>0</v>
      </c>
      <c r="D6" s="46">
        <f>'Juli-Aug'!D7/8</f>
        <v>0</v>
      </c>
      <c r="E6" s="22" t="s">
        <v>36</v>
      </c>
      <c r="L6" s="46"/>
      <c r="M6" s="46"/>
    </row>
    <row r="7" spans="1:5" ht="12.75">
      <c r="A7" s="47" t="s">
        <v>41</v>
      </c>
      <c r="B7" s="46">
        <f>'Sept-Okt'!B7/8</f>
        <v>0</v>
      </c>
      <c r="C7" s="46">
        <f>'Sept-Okt'!C7/8</f>
        <v>0</v>
      </c>
      <c r="D7" s="46">
        <f>'Sept-Okt'!D7/8</f>
        <v>0</v>
      </c>
      <c r="E7" s="22" t="s">
        <v>36</v>
      </c>
    </row>
    <row r="9" spans="1:5" ht="12.75">
      <c r="A9" s="48" t="s">
        <v>42</v>
      </c>
      <c r="B9" s="46">
        <f>'Nov-Dez'!B7</f>
        <v>2.3</v>
      </c>
      <c r="C9" s="46">
        <f>'Nov-Dez'!C7</f>
        <v>48.2</v>
      </c>
      <c r="D9" s="46">
        <f>'Nov-Dez'!D7</f>
        <v>7.8</v>
      </c>
      <c r="E9" s="22" t="s">
        <v>43</v>
      </c>
    </row>
    <row r="10" spans="1:5" ht="12.75">
      <c r="A10" s="48" t="s">
        <v>44</v>
      </c>
      <c r="B10" s="46">
        <f>'Jan-Feb'!B7</f>
        <v>0</v>
      </c>
      <c r="C10" s="46">
        <f>'Jan-Feb'!C7</f>
        <v>0</v>
      </c>
      <c r="D10" s="46">
        <f>'Jan-Feb'!D7</f>
        <v>0</v>
      </c>
      <c r="E10" s="22" t="s">
        <v>43</v>
      </c>
    </row>
    <row r="11" spans="1:5" ht="12.75">
      <c r="A11" s="48" t="s">
        <v>45</v>
      </c>
      <c r="B11" s="46">
        <f>'März-April'!B7</f>
        <v>0</v>
      </c>
      <c r="C11" s="46">
        <f>'März-April'!C7</f>
        <v>0</v>
      </c>
      <c r="D11" s="46">
        <f>'März-April'!D7</f>
        <v>0</v>
      </c>
      <c r="E11" s="22" t="s">
        <v>43</v>
      </c>
    </row>
    <row r="12" spans="1:5" ht="12.75">
      <c r="A12" s="48" t="s">
        <v>46</v>
      </c>
      <c r="B12" s="46">
        <f>'Mai-Juni'!B7</f>
        <v>0</v>
      </c>
      <c r="C12" s="46">
        <f>'Mai-Juni'!C7</f>
        <v>0</v>
      </c>
      <c r="D12" s="46">
        <f>'Mai-Juni'!D7</f>
        <v>0</v>
      </c>
      <c r="E12" s="22" t="s">
        <v>43</v>
      </c>
    </row>
    <row r="13" spans="1:5" ht="12.75">
      <c r="A13" s="48" t="s">
        <v>47</v>
      </c>
      <c r="B13" s="46">
        <f>'Juli-Aug'!B7</f>
        <v>0</v>
      </c>
      <c r="C13" s="46">
        <f>'Juli-Aug'!C7</f>
        <v>0</v>
      </c>
      <c r="D13" s="46">
        <f>'Juli-Aug'!D7</f>
        <v>0</v>
      </c>
      <c r="E13" s="22" t="s">
        <v>43</v>
      </c>
    </row>
    <row r="14" spans="1:5" ht="12.75">
      <c r="A14" s="48" t="s">
        <v>48</v>
      </c>
      <c r="B14" s="46">
        <f>'Sept-Okt'!B7</f>
        <v>0</v>
      </c>
      <c r="C14" s="46">
        <f>'Sept-Okt'!C7</f>
        <v>0</v>
      </c>
      <c r="D14" s="46">
        <f>'Sept-Okt'!D7</f>
        <v>0</v>
      </c>
      <c r="E14" s="22" t="s">
        <v>43</v>
      </c>
    </row>
    <row r="15" spans="1:5" ht="12.75">
      <c r="A15" s="49" t="s">
        <v>49</v>
      </c>
      <c r="B15" s="50">
        <f>SUM(B9:B14)</f>
        <v>2.3</v>
      </c>
      <c r="C15" s="50">
        <f>SUM(C9:C14)</f>
        <v>48.2</v>
      </c>
      <c r="D15" s="50">
        <f>SUM(D9:D14)</f>
        <v>7.8</v>
      </c>
      <c r="E15" s="22" t="s">
        <v>43</v>
      </c>
    </row>
    <row r="28" spans="6:13" ht="12.75">
      <c r="F28" s="51"/>
      <c r="G28" s="51"/>
      <c r="H28" s="51"/>
      <c r="I28" s="51"/>
      <c r="J28" s="51"/>
      <c r="K28" s="51"/>
      <c r="L28" s="51"/>
      <c r="M28" s="51"/>
    </row>
    <row r="29" spans="6:13" ht="12.75">
      <c r="F29" s="51"/>
      <c r="G29" s="51"/>
      <c r="H29" s="51"/>
      <c r="I29" s="51"/>
      <c r="J29" s="51"/>
      <c r="K29" s="51"/>
      <c r="L29" s="51"/>
      <c r="M29" s="51"/>
    </row>
    <row r="30" spans="6:13" ht="12.75">
      <c r="F30" s="51"/>
      <c r="G30" s="51"/>
      <c r="H30" s="51"/>
      <c r="I30" s="51"/>
      <c r="J30" s="51"/>
      <c r="K30" s="51"/>
      <c r="L30" s="51"/>
      <c r="M30" s="51"/>
    </row>
    <row r="31" spans="6:13" ht="12.75">
      <c r="F31" s="51"/>
      <c r="G31" s="51"/>
      <c r="H31" s="51"/>
      <c r="I31" s="51"/>
      <c r="J31" s="51"/>
      <c r="K31" s="51"/>
      <c r="L31" s="51"/>
      <c r="M31" s="51"/>
    </row>
    <row r="32" spans="6:13" ht="12.75">
      <c r="F32" s="51"/>
      <c r="G32" s="51"/>
      <c r="H32" s="51"/>
      <c r="I32" s="51"/>
      <c r="J32" s="51"/>
      <c r="K32" s="51"/>
      <c r="L32" s="51"/>
      <c r="M32" s="51"/>
    </row>
    <row r="33" spans="6:13" ht="12.75">
      <c r="F33" s="51"/>
      <c r="G33" s="51"/>
      <c r="H33" s="51"/>
      <c r="I33" s="51"/>
      <c r="J33" s="51"/>
      <c r="K33" s="51"/>
      <c r="L33" s="51"/>
      <c r="M33" s="51"/>
    </row>
    <row r="34" spans="6:13" ht="12.75">
      <c r="F34" s="51"/>
      <c r="G34" s="51"/>
      <c r="H34" s="51"/>
      <c r="I34" s="51"/>
      <c r="J34" s="51"/>
      <c r="K34" s="51"/>
      <c r="L34" s="51"/>
      <c r="M34" s="51"/>
    </row>
    <row r="35" spans="6:13" ht="12.75">
      <c r="F35" s="51"/>
      <c r="G35" s="51"/>
      <c r="H35" s="51"/>
      <c r="I35" s="51"/>
      <c r="J35" s="51"/>
      <c r="K35" s="51"/>
      <c r="L35" s="51"/>
      <c r="M35" s="51"/>
    </row>
    <row r="36" spans="6:13" ht="12.75">
      <c r="F36" s="51"/>
      <c r="G36" s="51"/>
      <c r="H36" s="51"/>
      <c r="I36" s="51"/>
      <c r="J36" s="51"/>
      <c r="K36" s="51"/>
      <c r="L36" s="51"/>
      <c r="M36" s="51"/>
    </row>
    <row r="39" spans="1:2" ht="13.5" thickBot="1">
      <c r="A39" s="52"/>
      <c r="B39" s="53"/>
    </row>
    <row r="40" spans="9:11" ht="12.75">
      <c r="I40" s="54" t="s">
        <v>50</v>
      </c>
      <c r="J40" s="55"/>
      <c r="K40" s="56"/>
    </row>
    <row r="41" spans="4:13" ht="12.75">
      <c r="D41" s="6"/>
      <c r="E41" s="6"/>
      <c r="F41" s="6"/>
      <c r="G41" s="6"/>
      <c r="H41" s="6"/>
      <c r="I41" s="57" t="s">
        <v>51</v>
      </c>
      <c r="J41" s="6"/>
      <c r="K41" s="58"/>
      <c r="L41" s="6"/>
      <c r="M41" s="6"/>
    </row>
    <row r="42" spans="9:11" ht="12.75">
      <c r="I42" s="57" t="s">
        <v>52</v>
      </c>
      <c r="J42" s="6"/>
      <c r="K42" s="58"/>
    </row>
    <row r="43" spans="9:11" ht="12.75">
      <c r="I43" s="57" t="s">
        <v>53</v>
      </c>
      <c r="J43" s="6"/>
      <c r="K43" s="58"/>
    </row>
    <row r="44" spans="9:11" ht="12.75">
      <c r="I44" s="59" t="s">
        <v>54</v>
      </c>
      <c r="J44" s="6"/>
      <c r="K44" s="58"/>
    </row>
    <row r="45" spans="9:11" ht="12.75">
      <c r="I45" s="57" t="s">
        <v>55</v>
      </c>
      <c r="J45" s="6"/>
      <c r="K45" s="58"/>
    </row>
    <row r="46" spans="1:11" ht="12.75">
      <c r="A46" s="46"/>
      <c r="B46" s="46"/>
      <c r="I46" s="57" t="s">
        <v>56</v>
      </c>
      <c r="J46" s="6"/>
      <c r="K46" s="58"/>
    </row>
    <row r="47" spans="9:11" ht="12.75">
      <c r="I47" s="59" t="s">
        <v>57</v>
      </c>
      <c r="J47" s="6"/>
      <c r="K47" s="58"/>
    </row>
    <row r="48" spans="9:11" ht="12.75">
      <c r="I48" s="59" t="s">
        <v>58</v>
      </c>
      <c r="J48" s="6"/>
      <c r="K48" s="58"/>
    </row>
    <row r="49" spans="9:11" ht="13.5" thickBot="1">
      <c r="I49" s="60" t="s">
        <v>59</v>
      </c>
      <c r="J49" s="61"/>
      <c r="K49" s="62"/>
    </row>
    <row r="57" spans="1:14" ht="12.75">
      <c r="A57" s="8"/>
      <c r="J57" s="239"/>
      <c r="K57" s="240"/>
      <c r="L57" s="239"/>
      <c r="M57" s="239"/>
      <c r="N57" s="239"/>
    </row>
    <row r="58" ht="12.75">
      <c r="B58" s="8"/>
    </row>
    <row r="59" ht="12.75">
      <c r="A59" s="8"/>
    </row>
    <row r="60" ht="12.75">
      <c r="A60" s="8"/>
    </row>
    <row r="61" ht="12.75">
      <c r="A61" s="8"/>
    </row>
    <row r="65" ht="12.75">
      <c r="A65" s="51"/>
    </row>
    <row r="70" spans="1:3" ht="12.75">
      <c r="A70" s="51"/>
      <c r="B70" s="63"/>
      <c r="C70" s="51"/>
    </row>
    <row r="77" spans="6:9" ht="12.75">
      <c r="F77" s="51"/>
      <c r="G77" s="63"/>
      <c r="H77" s="51"/>
      <c r="I77" s="51"/>
    </row>
    <row r="88" spans="1:3" ht="12.75">
      <c r="A88" s="51"/>
      <c r="B88" s="63"/>
      <c r="C88" s="51"/>
    </row>
    <row r="89" spans="10:14" ht="12.75">
      <c r="J89" s="64">
        <v>33</v>
      </c>
      <c r="K89" s="65"/>
      <c r="L89" s="64">
        <v>380</v>
      </c>
      <c r="M89" s="64"/>
      <c r="N89" s="64">
        <v>140</v>
      </c>
    </row>
    <row r="91" spans="10:12" ht="12.75">
      <c r="J91" s="66"/>
      <c r="K91" s="6"/>
      <c r="L91" s="6"/>
    </row>
    <row r="92" spans="10:12" ht="12.75">
      <c r="J92" s="67"/>
      <c r="K92" s="6"/>
      <c r="L92" s="6"/>
    </row>
    <row r="93" spans="10:12" ht="12.75">
      <c r="J93" s="67"/>
      <c r="K93" s="6"/>
      <c r="L93" s="6"/>
    </row>
    <row r="94" spans="10:12" ht="12.75">
      <c r="J94" s="67"/>
      <c r="K94" s="6"/>
      <c r="L94" s="6"/>
    </row>
    <row r="95" spans="6:12" ht="12.75">
      <c r="F95" s="64"/>
      <c r="G95" s="65"/>
      <c r="H95" s="64"/>
      <c r="I95" s="64"/>
      <c r="J95" s="66"/>
      <c r="K95" s="6"/>
      <c r="L95" s="6"/>
    </row>
    <row r="96" spans="10:12" ht="12.75">
      <c r="J96" s="67"/>
      <c r="K96" s="6"/>
      <c r="L96" s="6"/>
    </row>
    <row r="97" spans="10:12" ht="12.75">
      <c r="J97" s="67"/>
      <c r="K97" s="6"/>
      <c r="L97" s="6"/>
    </row>
    <row r="98" spans="10:12" ht="12.75">
      <c r="J98" s="66"/>
      <c r="K98" s="6"/>
      <c r="L98" s="6"/>
    </row>
    <row r="99" spans="10:12" ht="12.75">
      <c r="J99" s="66"/>
      <c r="K99" s="6"/>
      <c r="L99" s="6"/>
    </row>
    <row r="100" spans="10:12" ht="12.75">
      <c r="J100" s="67"/>
      <c r="K100" s="6"/>
      <c r="L100" s="6"/>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dimension ref="A1:GH147"/>
  <sheetViews>
    <sheetView zoomScale="75" zoomScaleNormal="75" zoomScalePageLayoutView="0" workbookViewId="0" topLeftCell="A1">
      <pane xSplit="1" topLeftCell="B1" activePane="topRight" state="frozen"/>
      <selection pane="topLeft" activeCell="AZ16" sqref="AZ16"/>
      <selection pane="topRight" activeCell="B6" sqref="B6"/>
    </sheetView>
  </sheetViews>
  <sheetFormatPr defaultColWidth="11.00390625" defaultRowHeight="12.75"/>
  <cols>
    <col min="1" max="1" width="25.28125" style="251" customWidth="1"/>
    <col min="2" max="16384" width="11.00390625" style="251" customWidth="1"/>
  </cols>
  <sheetData>
    <row r="1" spans="1:190" ht="18">
      <c r="A1" s="248" t="s">
        <v>243</v>
      </c>
      <c r="B1" s="249"/>
      <c r="C1" s="249" t="s">
        <v>244</v>
      </c>
      <c r="D1" s="249"/>
      <c r="E1" s="249"/>
      <c r="F1" s="249"/>
      <c r="G1" s="250"/>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c r="DV1" s="249"/>
      <c r="DW1" s="249"/>
      <c r="DX1" s="249"/>
      <c r="DY1" s="249"/>
      <c r="DZ1" s="249"/>
      <c r="EA1" s="249"/>
      <c r="EB1" s="249"/>
      <c r="EC1" s="249"/>
      <c r="ED1" s="249"/>
      <c r="EE1" s="249"/>
      <c r="EF1" s="249"/>
      <c r="EG1" s="249"/>
      <c r="EH1" s="249"/>
      <c r="EI1" s="249"/>
      <c r="EJ1" s="249"/>
      <c r="EK1" s="249"/>
      <c r="EL1" s="249"/>
      <c r="EM1" s="249"/>
      <c r="EN1" s="249"/>
      <c r="EO1" s="249"/>
      <c r="EP1" s="249"/>
      <c r="EQ1" s="249"/>
      <c r="ER1" s="249"/>
      <c r="ES1" s="249"/>
      <c r="ET1" s="249"/>
      <c r="EU1" s="249"/>
      <c r="EV1" s="249"/>
      <c r="EW1" s="249"/>
      <c r="EX1" s="249"/>
      <c r="EY1" s="249"/>
      <c r="EZ1" s="249"/>
      <c r="FA1" s="249"/>
      <c r="FB1" s="249"/>
      <c r="FC1" s="249"/>
      <c r="FD1" s="249"/>
      <c r="FE1" s="249"/>
      <c r="FF1" s="249"/>
      <c r="FG1" s="249"/>
      <c r="FH1" s="249"/>
      <c r="FI1" s="249"/>
      <c r="FJ1" s="249"/>
      <c r="FK1" s="249"/>
      <c r="FL1" s="249"/>
      <c r="FM1" s="249"/>
      <c r="FN1" s="249"/>
      <c r="FO1" s="249"/>
      <c r="FP1" s="249"/>
      <c r="FQ1" s="249"/>
      <c r="FR1" s="249"/>
      <c r="FS1" s="249"/>
      <c r="FT1" s="249"/>
      <c r="FU1" s="249"/>
      <c r="FV1" s="249"/>
      <c r="FW1" s="249"/>
      <c r="FX1" s="249"/>
      <c r="FY1" s="249"/>
      <c r="FZ1" s="249"/>
      <c r="GA1" s="249"/>
      <c r="GB1" s="249"/>
      <c r="GC1" s="249"/>
      <c r="GD1" s="249"/>
      <c r="GE1" s="249"/>
      <c r="GF1" s="249"/>
      <c r="GG1" s="249"/>
      <c r="GH1" s="249"/>
    </row>
    <row r="2" spans="1:190" ht="12.75">
      <c r="A2" s="252" t="s">
        <v>245</v>
      </c>
      <c r="B2" s="253"/>
      <c r="C2" s="254"/>
      <c r="D2" s="255"/>
      <c r="E2" s="253"/>
      <c r="F2" s="255"/>
      <c r="G2" s="253"/>
      <c r="H2" s="254"/>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c r="EI2" s="249"/>
      <c r="EJ2" s="249"/>
      <c r="EK2" s="249"/>
      <c r="EL2" s="249"/>
      <c r="EM2" s="249"/>
      <c r="EN2" s="249"/>
      <c r="EO2" s="249"/>
      <c r="EP2" s="249"/>
      <c r="EQ2" s="249"/>
      <c r="ER2" s="249"/>
      <c r="ES2" s="249"/>
      <c r="ET2" s="249"/>
      <c r="EU2" s="249"/>
      <c r="EV2" s="249"/>
      <c r="EW2" s="249"/>
      <c r="EX2" s="249"/>
      <c r="EY2" s="249"/>
      <c r="EZ2" s="249"/>
      <c r="FA2" s="249"/>
      <c r="FB2" s="249"/>
      <c r="FC2" s="249"/>
      <c r="FD2" s="249"/>
      <c r="FE2" s="249"/>
      <c r="FF2" s="249"/>
      <c r="FG2" s="249"/>
      <c r="FH2" s="249"/>
      <c r="FI2" s="249"/>
      <c r="FJ2" s="249"/>
      <c r="FK2" s="249"/>
      <c r="FL2" s="249"/>
      <c r="FM2" s="249"/>
      <c r="FN2" s="249"/>
      <c r="FO2" s="249"/>
      <c r="FP2" s="249"/>
      <c r="FQ2" s="249"/>
      <c r="FR2" s="249"/>
      <c r="FS2" s="249"/>
      <c r="FT2" s="249"/>
      <c r="FU2" s="249"/>
      <c r="FV2" s="249"/>
      <c r="FW2" s="249"/>
      <c r="FX2" s="249"/>
      <c r="FY2" s="249"/>
      <c r="FZ2" s="249"/>
      <c r="GA2" s="249"/>
      <c r="GB2" s="249"/>
      <c r="GC2" s="249"/>
      <c r="GD2" s="249"/>
      <c r="GE2" s="249"/>
      <c r="GF2" s="249"/>
      <c r="GG2" s="249"/>
      <c r="GH2" s="249"/>
    </row>
    <row r="3" spans="1:190" ht="12.75">
      <c r="A3" s="256" t="s">
        <v>246</v>
      </c>
      <c r="B3" s="249"/>
      <c r="C3" s="254" t="s">
        <v>247</v>
      </c>
      <c r="D3" s="254"/>
      <c r="E3" s="254"/>
      <c r="F3" s="254"/>
      <c r="G3" s="254"/>
      <c r="H3" s="254"/>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c r="EI3" s="249"/>
      <c r="EJ3" s="249"/>
      <c r="EK3" s="249"/>
      <c r="EL3" s="249"/>
      <c r="EM3" s="249"/>
      <c r="EN3" s="249"/>
      <c r="EO3" s="249"/>
      <c r="EP3" s="249"/>
      <c r="EQ3" s="249"/>
      <c r="ER3" s="249"/>
      <c r="ES3" s="249"/>
      <c r="ET3" s="249"/>
      <c r="EU3" s="249"/>
      <c r="EV3" s="249"/>
      <c r="EW3" s="249"/>
      <c r="EX3" s="249"/>
      <c r="EY3" s="249"/>
      <c r="EZ3" s="249"/>
      <c r="FA3" s="249"/>
      <c r="FB3" s="249"/>
      <c r="FC3" s="249"/>
      <c r="FD3" s="249"/>
      <c r="FE3" s="249"/>
      <c r="FF3" s="249"/>
      <c r="FG3" s="249"/>
      <c r="FH3" s="249"/>
      <c r="FI3" s="249"/>
      <c r="FJ3" s="249"/>
      <c r="FK3" s="249"/>
      <c r="FL3" s="249"/>
      <c r="FM3" s="249"/>
      <c r="FN3" s="249"/>
      <c r="FO3" s="249"/>
      <c r="FP3" s="249"/>
      <c r="FQ3" s="249"/>
      <c r="FR3" s="249"/>
      <c r="FS3" s="249"/>
      <c r="FT3" s="249"/>
      <c r="FU3" s="249"/>
      <c r="FV3" s="249"/>
      <c r="FW3" s="249"/>
      <c r="FX3" s="249"/>
      <c r="FY3" s="249"/>
      <c r="FZ3" s="249"/>
      <c r="GA3" s="249"/>
      <c r="GB3" s="249"/>
      <c r="GC3" s="249"/>
      <c r="GD3" s="249"/>
      <c r="GE3" s="249"/>
      <c r="GF3" s="249"/>
      <c r="GG3" s="249"/>
      <c r="GH3" s="249"/>
    </row>
    <row r="4" spans="1:190" ht="12.75">
      <c r="A4" s="252" t="s">
        <v>248</v>
      </c>
      <c r="B4" s="257">
        <v>1</v>
      </c>
      <c r="C4" s="257">
        <v>1</v>
      </c>
      <c r="D4" s="257">
        <v>1</v>
      </c>
      <c r="E4" s="257">
        <v>1</v>
      </c>
      <c r="F4" s="257">
        <v>1</v>
      </c>
      <c r="G4" s="257">
        <v>1</v>
      </c>
      <c r="H4" s="257">
        <v>1</v>
      </c>
      <c r="I4" s="257">
        <v>2</v>
      </c>
      <c r="J4" s="257">
        <v>2</v>
      </c>
      <c r="K4" s="257">
        <v>2</v>
      </c>
      <c r="L4" s="257">
        <v>2</v>
      </c>
      <c r="M4" s="257">
        <v>2</v>
      </c>
      <c r="N4" s="257">
        <v>2</v>
      </c>
      <c r="O4" s="257">
        <v>2</v>
      </c>
      <c r="P4" s="257">
        <v>3</v>
      </c>
      <c r="Q4" s="257">
        <v>3</v>
      </c>
      <c r="R4" s="257">
        <v>3</v>
      </c>
      <c r="S4" s="257">
        <v>3</v>
      </c>
      <c r="T4" s="257">
        <v>3</v>
      </c>
      <c r="U4" s="257">
        <v>3</v>
      </c>
      <c r="V4" s="257">
        <v>3</v>
      </c>
      <c r="W4" s="257">
        <v>4</v>
      </c>
      <c r="X4" s="257">
        <v>4</v>
      </c>
      <c r="Y4" s="257">
        <v>4</v>
      </c>
      <c r="Z4" s="257">
        <v>4</v>
      </c>
      <c r="AA4" s="257">
        <v>4</v>
      </c>
      <c r="AB4" s="257">
        <v>4</v>
      </c>
      <c r="AC4" s="257">
        <v>4</v>
      </c>
      <c r="AD4" s="257">
        <v>5</v>
      </c>
      <c r="AE4" s="257">
        <v>5</v>
      </c>
      <c r="AF4" s="257">
        <v>5</v>
      </c>
      <c r="AG4" s="257">
        <v>5</v>
      </c>
      <c r="AH4" s="257">
        <v>5</v>
      </c>
      <c r="AI4" s="257">
        <v>5</v>
      </c>
      <c r="AJ4" s="257">
        <v>5</v>
      </c>
      <c r="AK4" s="257">
        <v>6</v>
      </c>
      <c r="AL4" s="257">
        <v>6</v>
      </c>
      <c r="AM4" s="257">
        <v>6</v>
      </c>
      <c r="AN4" s="257">
        <v>6</v>
      </c>
      <c r="AO4" s="257">
        <v>6</v>
      </c>
      <c r="AP4" s="257">
        <v>6</v>
      </c>
      <c r="AQ4" s="257">
        <v>6</v>
      </c>
      <c r="AR4" s="257">
        <v>7</v>
      </c>
      <c r="AS4" s="257">
        <v>7</v>
      </c>
      <c r="AT4" s="257">
        <v>7</v>
      </c>
      <c r="AU4" s="257">
        <v>7</v>
      </c>
      <c r="AV4" s="257">
        <v>7</v>
      </c>
      <c r="AW4" s="257">
        <v>7</v>
      </c>
      <c r="AX4" s="257">
        <v>7</v>
      </c>
      <c r="AY4" s="257">
        <v>8</v>
      </c>
      <c r="AZ4" s="257">
        <v>8</v>
      </c>
      <c r="BA4" s="257">
        <v>8</v>
      </c>
      <c r="BB4" s="257">
        <v>8</v>
      </c>
      <c r="BC4" s="257">
        <v>8</v>
      </c>
      <c r="BD4" s="257">
        <v>8</v>
      </c>
      <c r="BE4" s="257">
        <v>8</v>
      </c>
      <c r="BF4" s="257">
        <v>9</v>
      </c>
      <c r="BG4" s="257">
        <v>9</v>
      </c>
      <c r="BH4" s="257">
        <v>9</v>
      </c>
      <c r="BI4" s="257">
        <v>9</v>
      </c>
      <c r="BJ4" s="257">
        <v>9</v>
      </c>
      <c r="BK4" s="257">
        <v>9</v>
      </c>
      <c r="BL4" s="257">
        <v>9</v>
      </c>
      <c r="BM4" s="257">
        <v>10</v>
      </c>
      <c r="BN4" s="257">
        <v>10</v>
      </c>
      <c r="BO4" s="257">
        <v>10</v>
      </c>
      <c r="BP4" s="257">
        <v>10</v>
      </c>
      <c r="BQ4" s="257">
        <v>10</v>
      </c>
      <c r="BR4" s="257">
        <v>10</v>
      </c>
      <c r="BS4" s="257">
        <v>10</v>
      </c>
      <c r="BT4" s="257">
        <v>11</v>
      </c>
      <c r="BU4" s="257">
        <v>11</v>
      </c>
      <c r="BV4" s="257">
        <v>11</v>
      </c>
      <c r="BW4" s="257">
        <v>11</v>
      </c>
      <c r="BX4" s="257">
        <v>11</v>
      </c>
      <c r="BY4" s="257">
        <v>11</v>
      </c>
      <c r="BZ4" s="257">
        <v>11</v>
      </c>
      <c r="CA4" s="257">
        <v>12</v>
      </c>
      <c r="CB4" s="257">
        <v>12</v>
      </c>
      <c r="CC4" s="257">
        <v>12</v>
      </c>
      <c r="CD4" s="257">
        <v>12</v>
      </c>
      <c r="CE4" s="257">
        <v>12</v>
      </c>
      <c r="CF4" s="257">
        <v>12</v>
      </c>
      <c r="CG4" s="257">
        <v>12</v>
      </c>
      <c r="CH4" s="257">
        <v>13</v>
      </c>
      <c r="CI4" s="257">
        <v>13</v>
      </c>
      <c r="CJ4" s="257">
        <v>13</v>
      </c>
      <c r="CK4" s="257">
        <v>13</v>
      </c>
      <c r="CL4" s="257">
        <v>13</v>
      </c>
      <c r="CM4" s="257">
        <v>13</v>
      </c>
      <c r="CN4" s="257">
        <v>13</v>
      </c>
      <c r="CO4" s="257">
        <v>14</v>
      </c>
      <c r="CP4" s="257">
        <v>14</v>
      </c>
      <c r="CQ4" s="257">
        <v>14</v>
      </c>
      <c r="CR4" s="257">
        <v>14</v>
      </c>
      <c r="CS4" s="257">
        <v>14</v>
      </c>
      <c r="CT4" s="257">
        <v>14</v>
      </c>
      <c r="CU4" s="257">
        <v>14</v>
      </c>
      <c r="CV4" s="257">
        <v>15</v>
      </c>
      <c r="CW4" s="257">
        <v>15</v>
      </c>
      <c r="CX4" s="257">
        <v>15</v>
      </c>
      <c r="CY4" s="257">
        <v>15</v>
      </c>
      <c r="CZ4" s="257">
        <v>15</v>
      </c>
      <c r="DA4" s="257">
        <v>15</v>
      </c>
      <c r="DB4" s="257">
        <v>15</v>
      </c>
      <c r="DC4" s="257">
        <v>16</v>
      </c>
      <c r="DD4" s="257">
        <v>16</v>
      </c>
      <c r="DE4" s="257">
        <v>16</v>
      </c>
      <c r="DF4" s="257">
        <v>16</v>
      </c>
      <c r="DG4" s="257">
        <v>16</v>
      </c>
      <c r="DH4" s="257">
        <v>16</v>
      </c>
      <c r="DI4" s="257">
        <v>16</v>
      </c>
      <c r="DJ4" s="257">
        <v>17</v>
      </c>
      <c r="DK4" s="257">
        <v>17</v>
      </c>
      <c r="DL4" s="257">
        <v>17</v>
      </c>
      <c r="DM4" s="257">
        <v>17</v>
      </c>
      <c r="DN4" s="257">
        <v>17</v>
      </c>
      <c r="DO4" s="257">
        <v>17</v>
      </c>
      <c r="DP4" s="257">
        <v>17</v>
      </c>
      <c r="DQ4" s="257">
        <v>18</v>
      </c>
      <c r="DR4" s="257">
        <v>18</v>
      </c>
      <c r="DS4" s="257">
        <v>18</v>
      </c>
      <c r="DT4" s="257">
        <v>18</v>
      </c>
      <c r="DU4" s="257">
        <v>18</v>
      </c>
      <c r="DV4" s="257">
        <v>18</v>
      </c>
      <c r="DW4" s="257">
        <v>18</v>
      </c>
      <c r="DX4" s="257">
        <v>19</v>
      </c>
      <c r="DY4" s="257">
        <v>19</v>
      </c>
      <c r="DZ4" s="257">
        <v>19</v>
      </c>
      <c r="EA4" s="257">
        <v>19</v>
      </c>
      <c r="EB4" s="257">
        <v>19</v>
      </c>
      <c r="EC4" s="257">
        <v>19</v>
      </c>
      <c r="ED4" s="257">
        <v>19</v>
      </c>
      <c r="EE4" s="257">
        <v>20</v>
      </c>
      <c r="EF4" s="257">
        <v>20</v>
      </c>
      <c r="EG4" s="257">
        <v>20</v>
      </c>
      <c r="EH4" s="257">
        <v>20</v>
      </c>
      <c r="EI4" s="257">
        <v>20</v>
      </c>
      <c r="EJ4" s="257">
        <v>20</v>
      </c>
      <c r="EK4" s="257">
        <v>20</v>
      </c>
      <c r="EL4" s="257">
        <v>21</v>
      </c>
      <c r="EM4" s="257">
        <v>21</v>
      </c>
      <c r="EN4" s="257">
        <v>21</v>
      </c>
      <c r="EO4" s="257">
        <v>21</v>
      </c>
      <c r="EP4" s="257">
        <v>21</v>
      </c>
      <c r="EQ4" s="257">
        <v>21</v>
      </c>
      <c r="ER4" s="257">
        <v>21</v>
      </c>
      <c r="ES4" s="257">
        <v>22</v>
      </c>
      <c r="ET4" s="257">
        <v>22</v>
      </c>
      <c r="EU4" s="257">
        <v>22</v>
      </c>
      <c r="EV4" s="257">
        <v>22</v>
      </c>
      <c r="EW4" s="257">
        <v>22</v>
      </c>
      <c r="EX4" s="257">
        <v>22</v>
      </c>
      <c r="EY4" s="257">
        <v>22</v>
      </c>
      <c r="EZ4" s="257">
        <v>23</v>
      </c>
      <c r="FA4" s="257">
        <v>23</v>
      </c>
      <c r="FB4" s="257">
        <v>23</v>
      </c>
      <c r="FC4" s="257">
        <v>23</v>
      </c>
      <c r="FD4" s="257">
        <v>23</v>
      </c>
      <c r="FE4" s="257">
        <v>23</v>
      </c>
      <c r="FF4" s="257">
        <v>23</v>
      </c>
      <c r="FG4" s="257">
        <v>24</v>
      </c>
      <c r="FH4" s="257">
        <v>24</v>
      </c>
      <c r="FI4" s="257">
        <v>24</v>
      </c>
      <c r="FJ4" s="257">
        <v>24</v>
      </c>
      <c r="FK4" s="257">
        <v>24</v>
      </c>
      <c r="FL4" s="257">
        <v>24</v>
      </c>
      <c r="FM4" s="257">
        <v>24</v>
      </c>
      <c r="FN4" s="257">
        <v>25</v>
      </c>
      <c r="FO4" s="257">
        <v>25</v>
      </c>
      <c r="FP4" s="257">
        <v>25</v>
      </c>
      <c r="FQ4" s="257">
        <v>25</v>
      </c>
      <c r="FR4" s="257">
        <v>25</v>
      </c>
      <c r="FS4" s="257">
        <v>25</v>
      </c>
      <c r="FT4" s="257">
        <v>25</v>
      </c>
      <c r="FU4" s="257">
        <v>26</v>
      </c>
      <c r="FV4" s="257">
        <v>26</v>
      </c>
      <c r="FW4" s="257">
        <v>26</v>
      </c>
      <c r="FX4" s="257">
        <v>26</v>
      </c>
      <c r="FY4" s="257">
        <v>26</v>
      </c>
      <c r="FZ4" s="257">
        <v>26</v>
      </c>
      <c r="GA4" s="257">
        <v>26</v>
      </c>
      <c r="GB4" s="257">
        <v>27</v>
      </c>
      <c r="GC4" s="257">
        <v>27</v>
      </c>
      <c r="GD4" s="257">
        <v>27</v>
      </c>
      <c r="GE4" s="257">
        <v>27</v>
      </c>
      <c r="GF4" s="257">
        <v>27</v>
      </c>
      <c r="GG4" s="257">
        <v>27</v>
      </c>
      <c r="GH4" s="257">
        <v>27</v>
      </c>
    </row>
    <row r="5" spans="1:190" ht="12.75">
      <c r="A5" s="252" t="s">
        <v>107</v>
      </c>
      <c r="B5" s="257">
        <v>1</v>
      </c>
      <c r="C5" s="257">
        <v>2</v>
      </c>
      <c r="D5" s="257">
        <v>3</v>
      </c>
      <c r="E5" s="257">
        <v>4</v>
      </c>
      <c r="F5" s="257">
        <v>5</v>
      </c>
      <c r="G5" s="257">
        <v>6</v>
      </c>
      <c r="H5" s="257">
        <v>7</v>
      </c>
      <c r="I5" s="257">
        <v>8</v>
      </c>
      <c r="J5" s="257">
        <v>9</v>
      </c>
      <c r="K5" s="257">
        <v>10</v>
      </c>
      <c r="L5" s="257">
        <v>11</v>
      </c>
      <c r="M5" s="257">
        <v>12</v>
      </c>
      <c r="N5" s="257">
        <v>13</v>
      </c>
      <c r="O5" s="257">
        <v>14</v>
      </c>
      <c r="P5" s="257">
        <v>15</v>
      </c>
      <c r="Q5" s="257">
        <v>16</v>
      </c>
      <c r="R5" s="257">
        <v>17</v>
      </c>
      <c r="S5" s="257">
        <v>18</v>
      </c>
      <c r="T5" s="257">
        <v>19</v>
      </c>
      <c r="U5" s="257">
        <v>20</v>
      </c>
      <c r="V5" s="257">
        <v>21</v>
      </c>
      <c r="W5" s="257">
        <v>22</v>
      </c>
      <c r="X5" s="257">
        <v>23</v>
      </c>
      <c r="Y5" s="257">
        <v>24</v>
      </c>
      <c r="Z5" s="257">
        <v>25</v>
      </c>
      <c r="AA5" s="257">
        <v>26</v>
      </c>
      <c r="AB5" s="257">
        <v>27</v>
      </c>
      <c r="AC5" s="257">
        <v>28</v>
      </c>
      <c r="AD5" s="257">
        <v>29</v>
      </c>
      <c r="AE5" s="257">
        <v>30</v>
      </c>
      <c r="AF5" s="257">
        <v>31</v>
      </c>
      <c r="AG5" s="257">
        <v>32</v>
      </c>
      <c r="AH5" s="257">
        <v>33</v>
      </c>
      <c r="AI5" s="257">
        <v>34</v>
      </c>
      <c r="AJ5" s="257">
        <v>35</v>
      </c>
      <c r="AK5" s="257">
        <v>36</v>
      </c>
      <c r="AL5" s="257">
        <v>37</v>
      </c>
      <c r="AM5" s="257">
        <v>38</v>
      </c>
      <c r="AN5" s="257">
        <v>39</v>
      </c>
      <c r="AO5" s="257">
        <v>40</v>
      </c>
      <c r="AP5" s="257">
        <v>41</v>
      </c>
      <c r="AQ5" s="257">
        <v>42</v>
      </c>
      <c r="AR5" s="257">
        <v>43</v>
      </c>
      <c r="AS5" s="257">
        <v>44</v>
      </c>
      <c r="AT5" s="257">
        <v>45</v>
      </c>
      <c r="AU5" s="257">
        <v>46</v>
      </c>
      <c r="AV5" s="257">
        <v>47</v>
      </c>
      <c r="AW5" s="257">
        <v>48</v>
      </c>
      <c r="AX5" s="257">
        <v>49</v>
      </c>
      <c r="AY5" s="257">
        <v>50</v>
      </c>
      <c r="AZ5" s="257">
        <v>51</v>
      </c>
      <c r="BA5" s="257">
        <v>52</v>
      </c>
      <c r="BB5" s="257">
        <v>53</v>
      </c>
      <c r="BC5" s="257">
        <v>54</v>
      </c>
      <c r="BD5" s="257">
        <v>55</v>
      </c>
      <c r="BE5" s="257">
        <v>56</v>
      </c>
      <c r="BF5" s="257">
        <v>57</v>
      </c>
      <c r="BG5" s="257">
        <v>58</v>
      </c>
      <c r="BH5" s="257">
        <v>59</v>
      </c>
      <c r="BI5" s="257">
        <v>60</v>
      </c>
      <c r="BJ5" s="257">
        <v>61</v>
      </c>
      <c r="BK5" s="257">
        <v>62</v>
      </c>
      <c r="BL5" s="257">
        <v>63</v>
      </c>
      <c r="BM5" s="257">
        <v>64</v>
      </c>
      <c r="BN5" s="257">
        <v>65</v>
      </c>
      <c r="BO5" s="257">
        <v>66</v>
      </c>
      <c r="BP5" s="257">
        <v>67</v>
      </c>
      <c r="BQ5" s="257">
        <v>68</v>
      </c>
      <c r="BR5" s="257">
        <v>69</v>
      </c>
      <c r="BS5" s="257">
        <v>70</v>
      </c>
      <c r="BT5" s="257">
        <v>71</v>
      </c>
      <c r="BU5" s="257">
        <v>72</v>
      </c>
      <c r="BV5" s="257">
        <v>73</v>
      </c>
      <c r="BW5" s="257">
        <v>74</v>
      </c>
      <c r="BX5" s="257">
        <v>75</v>
      </c>
      <c r="BY5" s="257">
        <v>76</v>
      </c>
      <c r="BZ5" s="257">
        <v>77</v>
      </c>
      <c r="CA5" s="257">
        <v>78</v>
      </c>
      <c r="CB5" s="257">
        <v>79</v>
      </c>
      <c r="CC5" s="257">
        <v>80</v>
      </c>
      <c r="CD5" s="257">
        <v>81</v>
      </c>
      <c r="CE5" s="257">
        <v>82</v>
      </c>
      <c r="CF5" s="257">
        <v>83</v>
      </c>
      <c r="CG5" s="257">
        <v>84</v>
      </c>
      <c r="CH5" s="257">
        <v>85</v>
      </c>
      <c r="CI5" s="257">
        <v>86</v>
      </c>
      <c r="CJ5" s="257">
        <v>87</v>
      </c>
      <c r="CK5" s="257">
        <v>88</v>
      </c>
      <c r="CL5" s="257">
        <v>89</v>
      </c>
      <c r="CM5" s="257">
        <v>90</v>
      </c>
      <c r="CN5" s="257">
        <v>91</v>
      </c>
      <c r="CO5" s="257">
        <v>92</v>
      </c>
      <c r="CP5" s="257">
        <v>93</v>
      </c>
      <c r="CQ5" s="257">
        <v>94</v>
      </c>
      <c r="CR5" s="257">
        <v>95</v>
      </c>
      <c r="CS5" s="257">
        <v>96</v>
      </c>
      <c r="CT5" s="257">
        <v>97</v>
      </c>
      <c r="CU5" s="257">
        <v>98</v>
      </c>
      <c r="CV5" s="257">
        <v>99</v>
      </c>
      <c r="CW5" s="257">
        <v>100</v>
      </c>
      <c r="CX5" s="257">
        <v>101</v>
      </c>
      <c r="CY5" s="257">
        <v>102</v>
      </c>
      <c r="CZ5" s="257">
        <v>103</v>
      </c>
      <c r="DA5" s="257">
        <v>104</v>
      </c>
      <c r="DB5" s="257">
        <v>105</v>
      </c>
      <c r="DC5" s="257">
        <v>106</v>
      </c>
      <c r="DD5" s="257">
        <v>107</v>
      </c>
      <c r="DE5" s="257">
        <v>108</v>
      </c>
      <c r="DF5" s="257">
        <v>109</v>
      </c>
      <c r="DG5" s="257">
        <v>110</v>
      </c>
      <c r="DH5" s="257">
        <v>111</v>
      </c>
      <c r="DI5" s="257">
        <v>112</v>
      </c>
      <c r="DJ5" s="257">
        <v>113</v>
      </c>
      <c r="DK5" s="257">
        <v>114</v>
      </c>
      <c r="DL5" s="257">
        <v>115</v>
      </c>
      <c r="DM5" s="257">
        <v>116</v>
      </c>
      <c r="DN5" s="257">
        <v>117</v>
      </c>
      <c r="DO5" s="257">
        <v>118</v>
      </c>
      <c r="DP5" s="257">
        <v>119</v>
      </c>
      <c r="DQ5" s="257">
        <v>120</v>
      </c>
      <c r="DR5" s="257">
        <v>121</v>
      </c>
      <c r="DS5" s="257">
        <v>122</v>
      </c>
      <c r="DT5" s="257">
        <v>123</v>
      </c>
      <c r="DU5" s="257">
        <v>124</v>
      </c>
      <c r="DV5" s="257">
        <v>125</v>
      </c>
      <c r="DW5" s="257">
        <v>126</v>
      </c>
      <c r="DX5" s="257">
        <v>127</v>
      </c>
      <c r="DY5" s="257">
        <v>128</v>
      </c>
      <c r="DZ5" s="257">
        <v>129</v>
      </c>
      <c r="EA5" s="257">
        <v>130</v>
      </c>
      <c r="EB5" s="257">
        <v>131</v>
      </c>
      <c r="EC5" s="257">
        <v>132</v>
      </c>
      <c r="ED5" s="257">
        <v>133</v>
      </c>
      <c r="EE5" s="257">
        <v>134</v>
      </c>
      <c r="EF5" s="257">
        <v>135</v>
      </c>
      <c r="EG5" s="257">
        <v>136</v>
      </c>
      <c r="EH5" s="257">
        <v>137</v>
      </c>
      <c r="EI5" s="257">
        <v>138</v>
      </c>
      <c r="EJ5" s="257">
        <v>139</v>
      </c>
      <c r="EK5" s="257">
        <v>140</v>
      </c>
      <c r="EL5" s="257">
        <v>141</v>
      </c>
      <c r="EM5" s="257">
        <v>142</v>
      </c>
      <c r="EN5" s="257">
        <v>143</v>
      </c>
      <c r="EO5" s="257">
        <v>144</v>
      </c>
      <c r="EP5" s="257">
        <v>145</v>
      </c>
      <c r="EQ5" s="257">
        <v>146</v>
      </c>
      <c r="ER5" s="257">
        <v>147</v>
      </c>
      <c r="ES5" s="257">
        <v>148</v>
      </c>
      <c r="ET5" s="257">
        <v>149</v>
      </c>
      <c r="EU5" s="257">
        <v>150</v>
      </c>
      <c r="EV5" s="257">
        <v>151</v>
      </c>
      <c r="EW5" s="257">
        <v>152</v>
      </c>
      <c r="EX5" s="257">
        <v>153</v>
      </c>
      <c r="EY5" s="257">
        <v>154</v>
      </c>
      <c r="EZ5" s="257">
        <v>155</v>
      </c>
      <c r="FA5" s="257">
        <v>156</v>
      </c>
      <c r="FB5" s="257">
        <v>157</v>
      </c>
      <c r="FC5" s="257">
        <v>158</v>
      </c>
      <c r="FD5" s="257">
        <v>159</v>
      </c>
      <c r="FE5" s="257">
        <v>160</v>
      </c>
      <c r="FF5" s="257">
        <v>161</v>
      </c>
      <c r="FG5" s="257">
        <v>162</v>
      </c>
      <c r="FH5" s="257">
        <v>163</v>
      </c>
      <c r="FI5" s="257">
        <v>164</v>
      </c>
      <c r="FJ5" s="257">
        <v>165</v>
      </c>
      <c r="FK5" s="257">
        <v>166</v>
      </c>
      <c r="FL5" s="257">
        <v>167</v>
      </c>
      <c r="FM5" s="257">
        <v>168</v>
      </c>
      <c r="FN5" s="257">
        <v>169</v>
      </c>
      <c r="FO5" s="257">
        <v>170</v>
      </c>
      <c r="FP5" s="257">
        <v>171</v>
      </c>
      <c r="FQ5" s="257">
        <v>172</v>
      </c>
      <c r="FR5" s="257">
        <v>173</v>
      </c>
      <c r="FS5" s="257">
        <v>174</v>
      </c>
      <c r="FT5" s="257">
        <v>175</v>
      </c>
      <c r="FU5" s="257">
        <v>176</v>
      </c>
      <c r="FV5" s="257">
        <v>177</v>
      </c>
      <c r="FW5" s="257">
        <v>178</v>
      </c>
      <c r="FX5" s="257">
        <v>179</v>
      </c>
      <c r="FY5" s="257">
        <v>180</v>
      </c>
      <c r="FZ5" s="257">
        <v>181</v>
      </c>
      <c r="GA5" s="257">
        <v>182</v>
      </c>
      <c r="GB5" s="257">
        <v>183</v>
      </c>
      <c r="GC5" s="257">
        <v>184</v>
      </c>
      <c r="GD5" s="257">
        <v>185</v>
      </c>
      <c r="GE5" s="257">
        <v>186</v>
      </c>
      <c r="GF5" s="257">
        <v>187</v>
      </c>
      <c r="GG5" s="257">
        <v>188</v>
      </c>
      <c r="GH5" s="257">
        <v>189</v>
      </c>
    </row>
    <row r="6" spans="1:190" ht="12.75">
      <c r="A6" s="252" t="s">
        <v>249</v>
      </c>
      <c r="B6" s="258">
        <v>44137</v>
      </c>
      <c r="C6" s="259">
        <f aca="true" t="shared" si="0" ref="C6:AH6">B6+1</f>
        <v>44138</v>
      </c>
      <c r="D6" s="259">
        <f t="shared" si="0"/>
        <v>44139</v>
      </c>
      <c r="E6" s="259">
        <f t="shared" si="0"/>
        <v>44140</v>
      </c>
      <c r="F6" s="259">
        <f t="shared" si="0"/>
        <v>44141</v>
      </c>
      <c r="G6" s="259">
        <f t="shared" si="0"/>
        <v>44142</v>
      </c>
      <c r="H6" s="259">
        <f t="shared" si="0"/>
        <v>44143</v>
      </c>
      <c r="I6" s="259">
        <f t="shared" si="0"/>
        <v>44144</v>
      </c>
      <c r="J6" s="259">
        <f t="shared" si="0"/>
        <v>44145</v>
      </c>
      <c r="K6" s="259">
        <f t="shared" si="0"/>
        <v>44146</v>
      </c>
      <c r="L6" s="259">
        <f t="shared" si="0"/>
        <v>44147</v>
      </c>
      <c r="M6" s="259">
        <f t="shared" si="0"/>
        <v>44148</v>
      </c>
      <c r="N6" s="259">
        <f t="shared" si="0"/>
        <v>44149</v>
      </c>
      <c r="O6" s="259">
        <f t="shared" si="0"/>
        <v>44150</v>
      </c>
      <c r="P6" s="259">
        <f t="shared" si="0"/>
        <v>44151</v>
      </c>
      <c r="Q6" s="259">
        <f t="shared" si="0"/>
        <v>44152</v>
      </c>
      <c r="R6" s="259">
        <f t="shared" si="0"/>
        <v>44153</v>
      </c>
      <c r="S6" s="259">
        <f t="shared" si="0"/>
        <v>44154</v>
      </c>
      <c r="T6" s="259">
        <f t="shared" si="0"/>
        <v>44155</v>
      </c>
      <c r="U6" s="259">
        <f t="shared" si="0"/>
        <v>44156</v>
      </c>
      <c r="V6" s="259">
        <f t="shared" si="0"/>
        <v>44157</v>
      </c>
      <c r="W6" s="259">
        <f t="shared" si="0"/>
        <v>44158</v>
      </c>
      <c r="X6" s="259">
        <f t="shared" si="0"/>
        <v>44159</v>
      </c>
      <c r="Y6" s="259">
        <f t="shared" si="0"/>
        <v>44160</v>
      </c>
      <c r="Z6" s="259">
        <f t="shared" si="0"/>
        <v>44161</v>
      </c>
      <c r="AA6" s="259">
        <f t="shared" si="0"/>
        <v>44162</v>
      </c>
      <c r="AB6" s="259">
        <f t="shared" si="0"/>
        <v>44163</v>
      </c>
      <c r="AC6" s="259">
        <f t="shared" si="0"/>
        <v>44164</v>
      </c>
      <c r="AD6" s="259">
        <f t="shared" si="0"/>
        <v>44165</v>
      </c>
      <c r="AE6" s="259">
        <f t="shared" si="0"/>
        <v>44166</v>
      </c>
      <c r="AF6" s="259">
        <f t="shared" si="0"/>
        <v>44167</v>
      </c>
      <c r="AG6" s="259">
        <f t="shared" si="0"/>
        <v>44168</v>
      </c>
      <c r="AH6" s="259">
        <f t="shared" si="0"/>
        <v>44169</v>
      </c>
      <c r="AI6" s="259">
        <f aca="true" t="shared" si="1" ref="AI6:BN6">AH6+1</f>
        <v>44170</v>
      </c>
      <c r="AJ6" s="259">
        <f t="shared" si="1"/>
        <v>44171</v>
      </c>
      <c r="AK6" s="259">
        <f t="shared" si="1"/>
        <v>44172</v>
      </c>
      <c r="AL6" s="259">
        <f t="shared" si="1"/>
        <v>44173</v>
      </c>
      <c r="AM6" s="259">
        <f t="shared" si="1"/>
        <v>44174</v>
      </c>
      <c r="AN6" s="259">
        <f t="shared" si="1"/>
        <v>44175</v>
      </c>
      <c r="AO6" s="259">
        <f t="shared" si="1"/>
        <v>44176</v>
      </c>
      <c r="AP6" s="259">
        <f t="shared" si="1"/>
        <v>44177</v>
      </c>
      <c r="AQ6" s="259">
        <f t="shared" si="1"/>
        <v>44178</v>
      </c>
      <c r="AR6" s="259">
        <f t="shared" si="1"/>
        <v>44179</v>
      </c>
      <c r="AS6" s="259">
        <f t="shared" si="1"/>
        <v>44180</v>
      </c>
      <c r="AT6" s="259">
        <f t="shared" si="1"/>
        <v>44181</v>
      </c>
      <c r="AU6" s="259">
        <f t="shared" si="1"/>
        <v>44182</v>
      </c>
      <c r="AV6" s="259">
        <f t="shared" si="1"/>
        <v>44183</v>
      </c>
      <c r="AW6" s="259">
        <f t="shared" si="1"/>
        <v>44184</v>
      </c>
      <c r="AX6" s="259">
        <f t="shared" si="1"/>
        <v>44185</v>
      </c>
      <c r="AY6" s="259">
        <f t="shared" si="1"/>
        <v>44186</v>
      </c>
      <c r="AZ6" s="259">
        <f t="shared" si="1"/>
        <v>44187</v>
      </c>
      <c r="BA6" s="259">
        <f t="shared" si="1"/>
        <v>44188</v>
      </c>
      <c r="BB6" s="259">
        <f t="shared" si="1"/>
        <v>44189</v>
      </c>
      <c r="BC6" s="259">
        <f t="shared" si="1"/>
        <v>44190</v>
      </c>
      <c r="BD6" s="259">
        <f t="shared" si="1"/>
        <v>44191</v>
      </c>
      <c r="BE6" s="259">
        <f t="shared" si="1"/>
        <v>44192</v>
      </c>
      <c r="BF6" s="259">
        <f t="shared" si="1"/>
        <v>44193</v>
      </c>
      <c r="BG6" s="259">
        <f t="shared" si="1"/>
        <v>44194</v>
      </c>
      <c r="BH6" s="259">
        <f t="shared" si="1"/>
        <v>44195</v>
      </c>
      <c r="BI6" s="259">
        <f t="shared" si="1"/>
        <v>44196</v>
      </c>
      <c r="BJ6" s="259">
        <f t="shared" si="1"/>
        <v>44197</v>
      </c>
      <c r="BK6" s="259">
        <f t="shared" si="1"/>
        <v>44198</v>
      </c>
      <c r="BL6" s="259">
        <f t="shared" si="1"/>
        <v>44199</v>
      </c>
      <c r="BM6" s="259">
        <f t="shared" si="1"/>
        <v>44200</v>
      </c>
      <c r="BN6" s="259">
        <f t="shared" si="1"/>
        <v>44201</v>
      </c>
      <c r="BO6" s="259">
        <f aca="true" t="shared" si="2" ref="BO6:CT6">BN6+1</f>
        <v>44202</v>
      </c>
      <c r="BP6" s="259">
        <f t="shared" si="2"/>
        <v>44203</v>
      </c>
      <c r="BQ6" s="259">
        <f t="shared" si="2"/>
        <v>44204</v>
      </c>
      <c r="BR6" s="259">
        <f t="shared" si="2"/>
        <v>44205</v>
      </c>
      <c r="BS6" s="259">
        <f t="shared" si="2"/>
        <v>44206</v>
      </c>
      <c r="BT6" s="259">
        <f t="shared" si="2"/>
        <v>44207</v>
      </c>
      <c r="BU6" s="259">
        <f t="shared" si="2"/>
        <v>44208</v>
      </c>
      <c r="BV6" s="259">
        <f t="shared" si="2"/>
        <v>44209</v>
      </c>
      <c r="BW6" s="259">
        <f t="shared" si="2"/>
        <v>44210</v>
      </c>
      <c r="BX6" s="259">
        <f t="shared" si="2"/>
        <v>44211</v>
      </c>
      <c r="BY6" s="259">
        <f t="shared" si="2"/>
        <v>44212</v>
      </c>
      <c r="BZ6" s="259">
        <f t="shared" si="2"/>
        <v>44213</v>
      </c>
      <c r="CA6" s="259">
        <f t="shared" si="2"/>
        <v>44214</v>
      </c>
      <c r="CB6" s="259">
        <f t="shared" si="2"/>
        <v>44215</v>
      </c>
      <c r="CC6" s="259">
        <f t="shared" si="2"/>
        <v>44216</v>
      </c>
      <c r="CD6" s="259">
        <f t="shared" si="2"/>
        <v>44217</v>
      </c>
      <c r="CE6" s="259">
        <f t="shared" si="2"/>
        <v>44218</v>
      </c>
      <c r="CF6" s="259">
        <f t="shared" si="2"/>
        <v>44219</v>
      </c>
      <c r="CG6" s="259">
        <f t="shared" si="2"/>
        <v>44220</v>
      </c>
      <c r="CH6" s="259">
        <f t="shared" si="2"/>
        <v>44221</v>
      </c>
      <c r="CI6" s="259">
        <f t="shared" si="2"/>
        <v>44222</v>
      </c>
      <c r="CJ6" s="259">
        <f t="shared" si="2"/>
        <v>44223</v>
      </c>
      <c r="CK6" s="259">
        <f t="shared" si="2"/>
        <v>44224</v>
      </c>
      <c r="CL6" s="259">
        <f t="shared" si="2"/>
        <v>44225</v>
      </c>
      <c r="CM6" s="259">
        <f t="shared" si="2"/>
        <v>44226</v>
      </c>
      <c r="CN6" s="259">
        <f t="shared" si="2"/>
        <v>44227</v>
      </c>
      <c r="CO6" s="259">
        <f t="shared" si="2"/>
        <v>44228</v>
      </c>
      <c r="CP6" s="259">
        <f t="shared" si="2"/>
        <v>44229</v>
      </c>
      <c r="CQ6" s="259">
        <f t="shared" si="2"/>
        <v>44230</v>
      </c>
      <c r="CR6" s="259">
        <f t="shared" si="2"/>
        <v>44231</v>
      </c>
      <c r="CS6" s="259">
        <f t="shared" si="2"/>
        <v>44232</v>
      </c>
      <c r="CT6" s="259">
        <f t="shared" si="2"/>
        <v>44233</v>
      </c>
      <c r="CU6" s="259">
        <f aca="true" t="shared" si="3" ref="CU6:DZ6">CT6+1</f>
        <v>44234</v>
      </c>
      <c r="CV6" s="259">
        <f t="shared" si="3"/>
        <v>44235</v>
      </c>
      <c r="CW6" s="259">
        <f t="shared" si="3"/>
        <v>44236</v>
      </c>
      <c r="CX6" s="259">
        <f t="shared" si="3"/>
        <v>44237</v>
      </c>
      <c r="CY6" s="259">
        <f t="shared" si="3"/>
        <v>44238</v>
      </c>
      <c r="CZ6" s="259">
        <f t="shared" si="3"/>
        <v>44239</v>
      </c>
      <c r="DA6" s="259">
        <f t="shared" si="3"/>
        <v>44240</v>
      </c>
      <c r="DB6" s="259">
        <f t="shared" si="3"/>
        <v>44241</v>
      </c>
      <c r="DC6" s="259">
        <f t="shared" si="3"/>
        <v>44242</v>
      </c>
      <c r="DD6" s="259">
        <f t="shared" si="3"/>
        <v>44243</v>
      </c>
      <c r="DE6" s="259">
        <f t="shared" si="3"/>
        <v>44244</v>
      </c>
      <c r="DF6" s="259">
        <f t="shared" si="3"/>
        <v>44245</v>
      </c>
      <c r="DG6" s="259">
        <f t="shared" si="3"/>
        <v>44246</v>
      </c>
      <c r="DH6" s="259">
        <f t="shared" si="3"/>
        <v>44247</v>
      </c>
      <c r="DI6" s="259">
        <f t="shared" si="3"/>
        <v>44248</v>
      </c>
      <c r="DJ6" s="259">
        <f t="shared" si="3"/>
        <v>44249</v>
      </c>
      <c r="DK6" s="259">
        <f t="shared" si="3"/>
        <v>44250</v>
      </c>
      <c r="DL6" s="259">
        <f t="shared" si="3"/>
        <v>44251</v>
      </c>
      <c r="DM6" s="259">
        <f t="shared" si="3"/>
        <v>44252</v>
      </c>
      <c r="DN6" s="259">
        <f t="shared" si="3"/>
        <v>44253</v>
      </c>
      <c r="DO6" s="259">
        <f t="shared" si="3"/>
        <v>44254</v>
      </c>
      <c r="DP6" s="259">
        <f t="shared" si="3"/>
        <v>44255</v>
      </c>
      <c r="DQ6" s="259">
        <f t="shared" si="3"/>
        <v>44256</v>
      </c>
      <c r="DR6" s="259">
        <f t="shared" si="3"/>
        <v>44257</v>
      </c>
      <c r="DS6" s="259">
        <f t="shared" si="3"/>
        <v>44258</v>
      </c>
      <c r="DT6" s="259">
        <f t="shared" si="3"/>
        <v>44259</v>
      </c>
      <c r="DU6" s="259">
        <f t="shared" si="3"/>
        <v>44260</v>
      </c>
      <c r="DV6" s="259">
        <f t="shared" si="3"/>
        <v>44261</v>
      </c>
      <c r="DW6" s="259">
        <f t="shared" si="3"/>
        <v>44262</v>
      </c>
      <c r="DX6" s="259">
        <f t="shared" si="3"/>
        <v>44263</v>
      </c>
      <c r="DY6" s="259">
        <f t="shared" si="3"/>
        <v>44264</v>
      </c>
      <c r="DZ6" s="259">
        <f t="shared" si="3"/>
        <v>44265</v>
      </c>
      <c r="EA6" s="259">
        <f aca="true" t="shared" si="4" ref="EA6:FF6">DZ6+1</f>
        <v>44266</v>
      </c>
      <c r="EB6" s="259">
        <f t="shared" si="4"/>
        <v>44267</v>
      </c>
      <c r="EC6" s="259">
        <f t="shared" si="4"/>
        <v>44268</v>
      </c>
      <c r="ED6" s="259">
        <f t="shared" si="4"/>
        <v>44269</v>
      </c>
      <c r="EE6" s="259">
        <f t="shared" si="4"/>
        <v>44270</v>
      </c>
      <c r="EF6" s="259">
        <f t="shared" si="4"/>
        <v>44271</v>
      </c>
      <c r="EG6" s="259">
        <f t="shared" si="4"/>
        <v>44272</v>
      </c>
      <c r="EH6" s="259">
        <f t="shared" si="4"/>
        <v>44273</v>
      </c>
      <c r="EI6" s="259">
        <f t="shared" si="4"/>
        <v>44274</v>
      </c>
      <c r="EJ6" s="259">
        <f t="shared" si="4"/>
        <v>44275</v>
      </c>
      <c r="EK6" s="259">
        <f t="shared" si="4"/>
        <v>44276</v>
      </c>
      <c r="EL6" s="259">
        <f t="shared" si="4"/>
        <v>44277</v>
      </c>
      <c r="EM6" s="259">
        <f t="shared" si="4"/>
        <v>44278</v>
      </c>
      <c r="EN6" s="259">
        <f t="shared" si="4"/>
        <v>44279</v>
      </c>
      <c r="EO6" s="259">
        <f t="shared" si="4"/>
        <v>44280</v>
      </c>
      <c r="EP6" s="259">
        <f t="shared" si="4"/>
        <v>44281</v>
      </c>
      <c r="EQ6" s="259">
        <f t="shared" si="4"/>
        <v>44282</v>
      </c>
      <c r="ER6" s="259">
        <f t="shared" si="4"/>
        <v>44283</v>
      </c>
      <c r="ES6" s="259">
        <f t="shared" si="4"/>
        <v>44284</v>
      </c>
      <c r="ET6" s="259">
        <f t="shared" si="4"/>
        <v>44285</v>
      </c>
      <c r="EU6" s="259">
        <f t="shared" si="4"/>
        <v>44286</v>
      </c>
      <c r="EV6" s="259">
        <f t="shared" si="4"/>
        <v>44287</v>
      </c>
      <c r="EW6" s="259">
        <f t="shared" si="4"/>
        <v>44288</v>
      </c>
      <c r="EX6" s="259">
        <f t="shared" si="4"/>
        <v>44289</v>
      </c>
      <c r="EY6" s="259">
        <f t="shared" si="4"/>
        <v>44290</v>
      </c>
      <c r="EZ6" s="259">
        <f t="shared" si="4"/>
        <v>44291</v>
      </c>
      <c r="FA6" s="259">
        <f t="shared" si="4"/>
        <v>44292</v>
      </c>
      <c r="FB6" s="259">
        <f t="shared" si="4"/>
        <v>44293</v>
      </c>
      <c r="FC6" s="259">
        <f t="shared" si="4"/>
        <v>44294</v>
      </c>
      <c r="FD6" s="259">
        <f t="shared" si="4"/>
        <v>44295</v>
      </c>
      <c r="FE6" s="259">
        <f t="shared" si="4"/>
        <v>44296</v>
      </c>
      <c r="FF6" s="259">
        <f t="shared" si="4"/>
        <v>44297</v>
      </c>
      <c r="FG6" s="259">
        <f aca="true" t="shared" si="5" ref="FG6:GH6">FF6+1</f>
        <v>44298</v>
      </c>
      <c r="FH6" s="259">
        <f t="shared" si="5"/>
        <v>44299</v>
      </c>
      <c r="FI6" s="259">
        <f t="shared" si="5"/>
        <v>44300</v>
      </c>
      <c r="FJ6" s="259">
        <f t="shared" si="5"/>
        <v>44301</v>
      </c>
      <c r="FK6" s="259">
        <f t="shared" si="5"/>
        <v>44302</v>
      </c>
      <c r="FL6" s="259">
        <f t="shared" si="5"/>
        <v>44303</v>
      </c>
      <c r="FM6" s="259">
        <f t="shared" si="5"/>
        <v>44304</v>
      </c>
      <c r="FN6" s="259">
        <f t="shared" si="5"/>
        <v>44305</v>
      </c>
      <c r="FO6" s="259">
        <f t="shared" si="5"/>
        <v>44306</v>
      </c>
      <c r="FP6" s="259">
        <f t="shared" si="5"/>
        <v>44307</v>
      </c>
      <c r="FQ6" s="259">
        <f t="shared" si="5"/>
        <v>44308</v>
      </c>
      <c r="FR6" s="259">
        <f t="shared" si="5"/>
        <v>44309</v>
      </c>
      <c r="FS6" s="259">
        <f t="shared" si="5"/>
        <v>44310</v>
      </c>
      <c r="FT6" s="259">
        <f t="shared" si="5"/>
        <v>44311</v>
      </c>
      <c r="FU6" s="259">
        <f t="shared" si="5"/>
        <v>44312</v>
      </c>
      <c r="FV6" s="259">
        <f t="shared" si="5"/>
        <v>44313</v>
      </c>
      <c r="FW6" s="259">
        <f t="shared" si="5"/>
        <v>44314</v>
      </c>
      <c r="FX6" s="259">
        <f t="shared" si="5"/>
        <v>44315</v>
      </c>
      <c r="FY6" s="259">
        <f t="shared" si="5"/>
        <v>44316</v>
      </c>
      <c r="FZ6" s="259">
        <f t="shared" si="5"/>
        <v>44317</v>
      </c>
      <c r="GA6" s="259">
        <f t="shared" si="5"/>
        <v>44318</v>
      </c>
      <c r="GB6" s="259">
        <f t="shared" si="5"/>
        <v>44319</v>
      </c>
      <c r="GC6" s="259">
        <f t="shared" si="5"/>
        <v>44320</v>
      </c>
      <c r="GD6" s="259">
        <f t="shared" si="5"/>
        <v>44321</v>
      </c>
      <c r="GE6" s="259">
        <f t="shared" si="5"/>
        <v>44322</v>
      </c>
      <c r="GF6" s="259">
        <f t="shared" si="5"/>
        <v>44323</v>
      </c>
      <c r="GG6" s="259">
        <f t="shared" si="5"/>
        <v>44324</v>
      </c>
      <c r="GH6" s="259">
        <f t="shared" si="5"/>
        <v>44325</v>
      </c>
    </row>
    <row r="7" spans="1:190" ht="12.75">
      <c r="A7" s="260" t="s">
        <v>107</v>
      </c>
      <c r="B7" s="261" t="s">
        <v>250</v>
      </c>
      <c r="C7" s="261" t="s">
        <v>251</v>
      </c>
      <c r="D7" s="261" t="s">
        <v>252</v>
      </c>
      <c r="E7" s="261" t="s">
        <v>253</v>
      </c>
      <c r="F7" s="261" t="s">
        <v>254</v>
      </c>
      <c r="G7" s="261" t="s">
        <v>255</v>
      </c>
      <c r="H7" s="262" t="s">
        <v>256</v>
      </c>
      <c r="I7" s="261" t="s">
        <v>250</v>
      </c>
      <c r="J7" s="261" t="s">
        <v>251</v>
      </c>
      <c r="K7" s="261" t="s">
        <v>252</v>
      </c>
      <c r="L7" s="261" t="s">
        <v>253</v>
      </c>
      <c r="M7" s="261" t="s">
        <v>254</v>
      </c>
      <c r="N7" s="261" t="s">
        <v>255</v>
      </c>
      <c r="O7" s="262" t="s">
        <v>256</v>
      </c>
      <c r="P7" s="261" t="s">
        <v>250</v>
      </c>
      <c r="Q7" s="261" t="s">
        <v>251</v>
      </c>
      <c r="R7" s="261" t="s">
        <v>252</v>
      </c>
      <c r="S7" s="261" t="s">
        <v>253</v>
      </c>
      <c r="T7" s="261" t="s">
        <v>254</v>
      </c>
      <c r="U7" s="261" t="s">
        <v>255</v>
      </c>
      <c r="V7" s="262" t="s">
        <v>256</v>
      </c>
      <c r="W7" s="261" t="s">
        <v>250</v>
      </c>
      <c r="X7" s="261" t="s">
        <v>251</v>
      </c>
      <c r="Y7" s="261" t="s">
        <v>252</v>
      </c>
      <c r="Z7" s="261" t="s">
        <v>253</v>
      </c>
      <c r="AA7" s="261" t="s">
        <v>254</v>
      </c>
      <c r="AB7" s="261" t="s">
        <v>255</v>
      </c>
      <c r="AC7" s="262" t="s">
        <v>256</v>
      </c>
      <c r="AD7" s="261" t="s">
        <v>250</v>
      </c>
      <c r="AE7" s="261" t="s">
        <v>251</v>
      </c>
      <c r="AF7" s="261" t="s">
        <v>252</v>
      </c>
      <c r="AG7" s="261" t="s">
        <v>253</v>
      </c>
      <c r="AH7" s="261" t="s">
        <v>254</v>
      </c>
      <c r="AI7" s="261" t="s">
        <v>255</v>
      </c>
      <c r="AJ7" s="262" t="s">
        <v>256</v>
      </c>
      <c r="AK7" s="261" t="s">
        <v>250</v>
      </c>
      <c r="AL7" s="261" t="s">
        <v>251</v>
      </c>
      <c r="AM7" s="261" t="s">
        <v>252</v>
      </c>
      <c r="AN7" s="261" t="s">
        <v>253</v>
      </c>
      <c r="AO7" s="261" t="s">
        <v>254</v>
      </c>
      <c r="AP7" s="261" t="s">
        <v>255</v>
      </c>
      <c r="AQ7" s="262" t="s">
        <v>256</v>
      </c>
      <c r="AR7" s="261" t="s">
        <v>250</v>
      </c>
      <c r="AS7" s="261" t="s">
        <v>251</v>
      </c>
      <c r="AT7" s="261" t="s">
        <v>252</v>
      </c>
      <c r="AU7" s="261" t="s">
        <v>253</v>
      </c>
      <c r="AV7" s="261" t="s">
        <v>254</v>
      </c>
      <c r="AW7" s="261" t="s">
        <v>255</v>
      </c>
      <c r="AX7" s="262" t="s">
        <v>256</v>
      </c>
      <c r="AY7" s="261" t="s">
        <v>250</v>
      </c>
      <c r="AZ7" s="261" t="s">
        <v>251</v>
      </c>
      <c r="BA7" s="261" t="s">
        <v>252</v>
      </c>
      <c r="BB7" s="261" t="s">
        <v>253</v>
      </c>
      <c r="BC7" s="261" t="s">
        <v>254</v>
      </c>
      <c r="BD7" s="261" t="s">
        <v>255</v>
      </c>
      <c r="BE7" s="262" t="s">
        <v>256</v>
      </c>
      <c r="BF7" s="261" t="s">
        <v>250</v>
      </c>
      <c r="BG7" s="261" t="s">
        <v>251</v>
      </c>
      <c r="BH7" s="261" t="s">
        <v>252</v>
      </c>
      <c r="BI7" s="261" t="s">
        <v>253</v>
      </c>
      <c r="BJ7" s="261" t="s">
        <v>254</v>
      </c>
      <c r="BK7" s="261" t="s">
        <v>255</v>
      </c>
      <c r="BL7" s="262" t="s">
        <v>256</v>
      </c>
      <c r="BM7" s="261" t="s">
        <v>250</v>
      </c>
      <c r="BN7" s="261" t="s">
        <v>251</v>
      </c>
      <c r="BO7" s="261" t="s">
        <v>252</v>
      </c>
      <c r="BP7" s="261" t="s">
        <v>253</v>
      </c>
      <c r="BQ7" s="261" t="s">
        <v>254</v>
      </c>
      <c r="BR7" s="261" t="s">
        <v>255</v>
      </c>
      <c r="BS7" s="262" t="s">
        <v>256</v>
      </c>
      <c r="BT7" s="261" t="s">
        <v>250</v>
      </c>
      <c r="BU7" s="261" t="s">
        <v>251</v>
      </c>
      <c r="BV7" s="261" t="s">
        <v>252</v>
      </c>
      <c r="BW7" s="261" t="s">
        <v>253</v>
      </c>
      <c r="BX7" s="261" t="s">
        <v>254</v>
      </c>
      <c r="BY7" s="261" t="s">
        <v>255</v>
      </c>
      <c r="BZ7" s="262" t="s">
        <v>256</v>
      </c>
      <c r="CA7" s="261" t="s">
        <v>250</v>
      </c>
      <c r="CB7" s="261" t="s">
        <v>251</v>
      </c>
      <c r="CC7" s="261" t="s">
        <v>252</v>
      </c>
      <c r="CD7" s="261" t="s">
        <v>253</v>
      </c>
      <c r="CE7" s="261" t="s">
        <v>254</v>
      </c>
      <c r="CF7" s="261" t="s">
        <v>255</v>
      </c>
      <c r="CG7" s="262" t="s">
        <v>256</v>
      </c>
      <c r="CH7" s="261" t="s">
        <v>250</v>
      </c>
      <c r="CI7" s="261" t="s">
        <v>251</v>
      </c>
      <c r="CJ7" s="261" t="s">
        <v>252</v>
      </c>
      <c r="CK7" s="261" t="s">
        <v>253</v>
      </c>
      <c r="CL7" s="261" t="s">
        <v>254</v>
      </c>
      <c r="CM7" s="261" t="s">
        <v>255</v>
      </c>
      <c r="CN7" s="262" t="s">
        <v>256</v>
      </c>
      <c r="CO7" s="261" t="s">
        <v>250</v>
      </c>
      <c r="CP7" s="261" t="s">
        <v>251</v>
      </c>
      <c r="CQ7" s="261" t="s">
        <v>252</v>
      </c>
      <c r="CR7" s="261" t="s">
        <v>253</v>
      </c>
      <c r="CS7" s="261" t="s">
        <v>254</v>
      </c>
      <c r="CT7" s="261" t="s">
        <v>255</v>
      </c>
      <c r="CU7" s="262" t="s">
        <v>256</v>
      </c>
      <c r="CV7" s="261" t="s">
        <v>250</v>
      </c>
      <c r="CW7" s="261" t="s">
        <v>251</v>
      </c>
      <c r="CX7" s="261" t="s">
        <v>252</v>
      </c>
      <c r="CY7" s="261" t="s">
        <v>253</v>
      </c>
      <c r="CZ7" s="261" t="s">
        <v>254</v>
      </c>
      <c r="DA7" s="261" t="s">
        <v>255</v>
      </c>
      <c r="DB7" s="262" t="s">
        <v>256</v>
      </c>
      <c r="DC7" s="261" t="s">
        <v>250</v>
      </c>
      <c r="DD7" s="261" t="s">
        <v>251</v>
      </c>
      <c r="DE7" s="261" t="s">
        <v>252</v>
      </c>
      <c r="DF7" s="261" t="s">
        <v>253</v>
      </c>
      <c r="DG7" s="261" t="s">
        <v>254</v>
      </c>
      <c r="DH7" s="261" t="s">
        <v>255</v>
      </c>
      <c r="DI7" s="262" t="s">
        <v>256</v>
      </c>
      <c r="DJ7" s="261" t="s">
        <v>250</v>
      </c>
      <c r="DK7" s="261" t="s">
        <v>251</v>
      </c>
      <c r="DL7" s="261" t="s">
        <v>252</v>
      </c>
      <c r="DM7" s="261" t="s">
        <v>253</v>
      </c>
      <c r="DN7" s="261" t="s">
        <v>254</v>
      </c>
      <c r="DO7" s="261" t="s">
        <v>255</v>
      </c>
      <c r="DP7" s="262" t="s">
        <v>256</v>
      </c>
      <c r="DQ7" s="261" t="s">
        <v>250</v>
      </c>
      <c r="DR7" s="261" t="s">
        <v>251</v>
      </c>
      <c r="DS7" s="261" t="s">
        <v>252</v>
      </c>
      <c r="DT7" s="261" t="s">
        <v>253</v>
      </c>
      <c r="DU7" s="261" t="s">
        <v>254</v>
      </c>
      <c r="DV7" s="261" t="s">
        <v>255</v>
      </c>
      <c r="DW7" s="262" t="s">
        <v>256</v>
      </c>
      <c r="DX7" s="261" t="s">
        <v>250</v>
      </c>
      <c r="DY7" s="261" t="s">
        <v>251</v>
      </c>
      <c r="DZ7" s="261" t="s">
        <v>252</v>
      </c>
      <c r="EA7" s="261" t="s">
        <v>253</v>
      </c>
      <c r="EB7" s="261" t="s">
        <v>254</v>
      </c>
      <c r="EC7" s="261" t="s">
        <v>255</v>
      </c>
      <c r="ED7" s="262" t="s">
        <v>256</v>
      </c>
      <c r="EE7" s="261" t="s">
        <v>250</v>
      </c>
      <c r="EF7" s="261" t="s">
        <v>251</v>
      </c>
      <c r="EG7" s="261" t="s">
        <v>252</v>
      </c>
      <c r="EH7" s="261" t="s">
        <v>253</v>
      </c>
      <c r="EI7" s="261" t="s">
        <v>254</v>
      </c>
      <c r="EJ7" s="261" t="s">
        <v>255</v>
      </c>
      <c r="EK7" s="262" t="s">
        <v>256</v>
      </c>
      <c r="EL7" s="261" t="s">
        <v>250</v>
      </c>
      <c r="EM7" s="261" t="s">
        <v>251</v>
      </c>
      <c r="EN7" s="261" t="s">
        <v>252</v>
      </c>
      <c r="EO7" s="261" t="s">
        <v>253</v>
      </c>
      <c r="EP7" s="261" t="s">
        <v>254</v>
      </c>
      <c r="EQ7" s="261" t="s">
        <v>255</v>
      </c>
      <c r="ER7" s="262" t="s">
        <v>256</v>
      </c>
      <c r="ES7" s="261" t="s">
        <v>250</v>
      </c>
      <c r="ET7" s="261" t="s">
        <v>251</v>
      </c>
      <c r="EU7" s="261" t="s">
        <v>252</v>
      </c>
      <c r="EV7" s="261" t="s">
        <v>253</v>
      </c>
      <c r="EW7" s="261" t="s">
        <v>254</v>
      </c>
      <c r="EX7" s="261" t="s">
        <v>255</v>
      </c>
      <c r="EY7" s="262" t="s">
        <v>256</v>
      </c>
      <c r="EZ7" s="261" t="s">
        <v>250</v>
      </c>
      <c r="FA7" s="261" t="s">
        <v>251</v>
      </c>
      <c r="FB7" s="261" t="s">
        <v>252</v>
      </c>
      <c r="FC7" s="261" t="s">
        <v>253</v>
      </c>
      <c r="FD7" s="261" t="s">
        <v>254</v>
      </c>
      <c r="FE7" s="261" t="s">
        <v>255</v>
      </c>
      <c r="FF7" s="262" t="s">
        <v>256</v>
      </c>
      <c r="FG7" s="261" t="s">
        <v>250</v>
      </c>
      <c r="FH7" s="261" t="s">
        <v>251</v>
      </c>
      <c r="FI7" s="261" t="s">
        <v>252</v>
      </c>
      <c r="FJ7" s="261" t="s">
        <v>253</v>
      </c>
      <c r="FK7" s="261" t="s">
        <v>254</v>
      </c>
      <c r="FL7" s="261" t="s">
        <v>255</v>
      </c>
      <c r="FM7" s="262" t="s">
        <v>256</v>
      </c>
      <c r="FN7" s="261" t="s">
        <v>250</v>
      </c>
      <c r="FO7" s="261" t="s">
        <v>251</v>
      </c>
      <c r="FP7" s="261" t="s">
        <v>252</v>
      </c>
      <c r="FQ7" s="261" t="s">
        <v>253</v>
      </c>
      <c r="FR7" s="261" t="s">
        <v>254</v>
      </c>
      <c r="FS7" s="261" t="s">
        <v>255</v>
      </c>
      <c r="FT7" s="262" t="s">
        <v>256</v>
      </c>
      <c r="FU7" s="261" t="s">
        <v>250</v>
      </c>
      <c r="FV7" s="261" t="s">
        <v>251</v>
      </c>
      <c r="FW7" s="261" t="s">
        <v>252</v>
      </c>
      <c r="FX7" s="261" t="s">
        <v>253</v>
      </c>
      <c r="FY7" s="261" t="s">
        <v>254</v>
      </c>
      <c r="FZ7" s="261" t="s">
        <v>255</v>
      </c>
      <c r="GA7" s="262" t="s">
        <v>256</v>
      </c>
      <c r="GB7" s="261" t="s">
        <v>250</v>
      </c>
      <c r="GC7" s="261" t="s">
        <v>251</v>
      </c>
      <c r="GD7" s="261" t="s">
        <v>252</v>
      </c>
      <c r="GE7" s="261" t="s">
        <v>253</v>
      </c>
      <c r="GF7" s="261" t="s">
        <v>254</v>
      </c>
      <c r="GG7" s="261" t="s">
        <v>255</v>
      </c>
      <c r="GH7" s="262" t="s">
        <v>256</v>
      </c>
    </row>
    <row r="8" spans="1:190" ht="12.75">
      <c r="A8" s="263" t="s">
        <v>257</v>
      </c>
      <c r="B8" s="264">
        <v>1</v>
      </c>
      <c r="C8" s="264">
        <v>1</v>
      </c>
      <c r="D8" s="264">
        <v>1</v>
      </c>
      <c r="E8" s="264"/>
      <c r="F8" s="264"/>
      <c r="G8" s="264">
        <v>1</v>
      </c>
      <c r="H8" s="265"/>
      <c r="I8" s="264"/>
      <c r="J8" s="264"/>
      <c r="K8" s="264"/>
      <c r="L8" s="264"/>
      <c r="M8" s="264"/>
      <c r="N8" s="264"/>
      <c r="O8" s="265"/>
      <c r="P8" s="264"/>
      <c r="Q8" s="264"/>
      <c r="R8" s="264"/>
      <c r="S8" s="264"/>
      <c r="T8" s="264"/>
      <c r="U8" s="264"/>
      <c r="V8" s="265"/>
      <c r="W8" s="264"/>
      <c r="X8" s="264"/>
      <c r="Y8" s="264"/>
      <c r="Z8" s="264"/>
      <c r="AA8" s="264"/>
      <c r="AB8" s="264"/>
      <c r="AC8" s="265"/>
      <c r="AD8" s="264"/>
      <c r="AE8" s="264"/>
      <c r="AF8" s="264"/>
      <c r="AG8" s="264"/>
      <c r="AH8" s="264"/>
      <c r="AI8" s="264"/>
      <c r="AJ8" s="265"/>
      <c r="AK8" s="264"/>
      <c r="AL8" s="264"/>
      <c r="AM8" s="264"/>
      <c r="AN8" s="264"/>
      <c r="AO8" s="264"/>
      <c r="AP8" s="264"/>
      <c r="AQ8" s="265"/>
      <c r="AR8" s="264"/>
      <c r="AS8" s="264"/>
      <c r="AT8" s="264"/>
      <c r="AU8" s="264"/>
      <c r="AV8" s="264"/>
      <c r="AW8" s="264"/>
      <c r="AX8" s="265"/>
      <c r="AY8" s="264"/>
      <c r="AZ8" s="264"/>
      <c r="BA8" s="264"/>
      <c r="BB8" s="264"/>
      <c r="BC8" s="264"/>
      <c r="BD8" s="264"/>
      <c r="BE8" s="265"/>
      <c r="BF8" s="264"/>
      <c r="BG8" s="264"/>
      <c r="BH8" s="264"/>
      <c r="BI8" s="264"/>
      <c r="BJ8" s="264"/>
      <c r="BK8" s="264"/>
      <c r="BL8" s="265"/>
      <c r="BM8" s="264"/>
      <c r="BN8" s="264"/>
      <c r="BO8" s="264"/>
      <c r="BP8" s="264"/>
      <c r="BQ8" s="264"/>
      <c r="BR8" s="264"/>
      <c r="BS8" s="265"/>
      <c r="BT8" s="264"/>
      <c r="BU8" s="264"/>
      <c r="BV8" s="264"/>
      <c r="BW8" s="264"/>
      <c r="BX8" s="264"/>
      <c r="BY8" s="264"/>
      <c r="BZ8" s="265"/>
      <c r="CA8" s="264"/>
      <c r="CB8" s="264"/>
      <c r="CC8" s="264"/>
      <c r="CD8" s="264"/>
      <c r="CE8" s="264"/>
      <c r="CF8" s="264"/>
      <c r="CG8" s="265"/>
      <c r="CH8" s="264"/>
      <c r="CI8" s="264"/>
      <c r="CJ8" s="264"/>
      <c r="CK8" s="264"/>
      <c r="CL8" s="264"/>
      <c r="CM8" s="264"/>
      <c r="CN8" s="265"/>
      <c r="CO8" s="264"/>
      <c r="CP8" s="264"/>
      <c r="CQ8" s="264"/>
      <c r="CR8" s="264"/>
      <c r="CS8" s="264"/>
      <c r="CT8" s="264"/>
      <c r="CU8" s="265"/>
      <c r="CV8" s="264"/>
      <c r="CW8" s="264"/>
      <c r="CX8" s="264"/>
      <c r="CY8" s="264"/>
      <c r="CZ8" s="264"/>
      <c r="DA8" s="264"/>
      <c r="DB8" s="265"/>
      <c r="DC8" s="264"/>
      <c r="DD8" s="264"/>
      <c r="DE8" s="264"/>
      <c r="DF8" s="264"/>
      <c r="DG8" s="264"/>
      <c r="DH8" s="264"/>
      <c r="DI8" s="265"/>
      <c r="DJ8" s="264"/>
      <c r="DK8" s="264"/>
      <c r="DL8" s="264"/>
      <c r="DM8" s="264"/>
      <c r="DN8" s="264"/>
      <c r="DO8" s="264"/>
      <c r="DP8" s="265"/>
      <c r="DQ8" s="264"/>
      <c r="DR8" s="264"/>
      <c r="DS8" s="264"/>
      <c r="DT8" s="264"/>
      <c r="DU8" s="264"/>
      <c r="DV8" s="264"/>
      <c r="DW8" s="265"/>
      <c r="DX8" s="264"/>
      <c r="DY8" s="264"/>
      <c r="DZ8" s="264"/>
      <c r="EA8" s="264"/>
      <c r="EB8" s="264"/>
      <c r="EC8" s="264"/>
      <c r="ED8" s="265"/>
      <c r="EE8" s="264"/>
      <c r="EF8" s="264"/>
      <c r="EG8" s="264"/>
      <c r="EH8" s="264"/>
      <c r="EI8" s="264"/>
      <c r="EJ8" s="264"/>
      <c r="EK8" s="265"/>
      <c r="EL8" s="264"/>
      <c r="EM8" s="264"/>
      <c r="EN8" s="264"/>
      <c r="EO8" s="264"/>
      <c r="EP8" s="264"/>
      <c r="EQ8" s="264"/>
      <c r="ER8" s="265"/>
      <c r="ES8" s="264"/>
      <c r="ET8" s="264"/>
      <c r="EU8" s="264"/>
      <c r="EV8" s="264"/>
      <c r="EW8" s="264"/>
      <c r="EX8" s="264"/>
      <c r="EY8" s="265"/>
      <c r="EZ8" s="264"/>
      <c r="FA8" s="264"/>
      <c r="FB8" s="264"/>
      <c r="FC8" s="264"/>
      <c r="FD8" s="264"/>
      <c r="FE8" s="264"/>
      <c r="FF8" s="265"/>
      <c r="FG8" s="264"/>
      <c r="FH8" s="264"/>
      <c r="FI8" s="264"/>
      <c r="FJ8" s="264"/>
      <c r="FK8" s="264"/>
      <c r="FL8" s="264"/>
      <c r="FM8" s="265"/>
      <c r="FN8" s="264"/>
      <c r="FO8" s="264"/>
      <c r="FP8" s="264"/>
      <c r="FQ8" s="264"/>
      <c r="FR8" s="264"/>
      <c r="FS8" s="264"/>
      <c r="FT8" s="265"/>
      <c r="FU8" s="264"/>
      <c r="FV8" s="264"/>
      <c r="FW8" s="264"/>
      <c r="FX8" s="264"/>
      <c r="FY8" s="264"/>
      <c r="FZ8" s="264"/>
      <c r="GA8" s="265"/>
      <c r="GB8" s="264"/>
      <c r="GC8" s="264"/>
      <c r="GD8" s="264"/>
      <c r="GE8" s="264"/>
      <c r="GF8" s="264"/>
      <c r="GG8" s="264"/>
      <c r="GH8" s="265"/>
    </row>
    <row r="9" spans="1:190" ht="12.75">
      <c r="A9" s="266" t="s">
        <v>258</v>
      </c>
      <c r="B9" s="267">
        <f aca="true" t="shared" si="6" ref="B9:AG9">SUM(B10:B15)</f>
        <v>0</v>
      </c>
      <c r="C9" s="267">
        <f t="shared" si="6"/>
        <v>0</v>
      </c>
      <c r="D9" s="267">
        <f t="shared" si="6"/>
        <v>2.3</v>
      </c>
      <c r="E9" s="267">
        <f t="shared" si="6"/>
        <v>0</v>
      </c>
      <c r="F9" s="267">
        <f t="shared" si="6"/>
        <v>0</v>
      </c>
      <c r="G9" s="267">
        <f t="shared" si="6"/>
        <v>0</v>
      </c>
      <c r="H9" s="268">
        <f t="shared" si="6"/>
        <v>0</v>
      </c>
      <c r="I9" s="267">
        <f t="shared" si="6"/>
        <v>0</v>
      </c>
      <c r="J9" s="267">
        <f t="shared" si="6"/>
        <v>0</v>
      </c>
      <c r="K9" s="267">
        <f t="shared" si="6"/>
        <v>0</v>
      </c>
      <c r="L9" s="267">
        <f t="shared" si="6"/>
        <v>0</v>
      </c>
      <c r="M9" s="267">
        <f t="shared" si="6"/>
        <v>0</v>
      </c>
      <c r="N9" s="267">
        <f t="shared" si="6"/>
        <v>0</v>
      </c>
      <c r="O9" s="268">
        <f t="shared" si="6"/>
        <v>0</v>
      </c>
      <c r="P9" s="267">
        <f t="shared" si="6"/>
        <v>0</v>
      </c>
      <c r="Q9" s="267">
        <f t="shared" si="6"/>
        <v>0</v>
      </c>
      <c r="R9" s="267">
        <f t="shared" si="6"/>
        <v>0</v>
      </c>
      <c r="S9" s="267">
        <f t="shared" si="6"/>
        <v>0</v>
      </c>
      <c r="T9" s="267">
        <f t="shared" si="6"/>
        <v>0</v>
      </c>
      <c r="U9" s="267">
        <f t="shared" si="6"/>
        <v>0</v>
      </c>
      <c r="V9" s="268">
        <f t="shared" si="6"/>
        <v>0</v>
      </c>
      <c r="W9" s="267">
        <f t="shared" si="6"/>
        <v>0</v>
      </c>
      <c r="X9" s="267">
        <f t="shared" si="6"/>
        <v>0</v>
      </c>
      <c r="Y9" s="267">
        <f t="shared" si="6"/>
        <v>0</v>
      </c>
      <c r="Z9" s="267">
        <f t="shared" si="6"/>
        <v>0</v>
      </c>
      <c r="AA9" s="267">
        <f t="shared" si="6"/>
        <v>0</v>
      </c>
      <c r="AB9" s="267">
        <f t="shared" si="6"/>
        <v>0</v>
      </c>
      <c r="AC9" s="268">
        <f t="shared" si="6"/>
        <v>0</v>
      </c>
      <c r="AD9" s="267">
        <f t="shared" si="6"/>
        <v>0</v>
      </c>
      <c r="AE9" s="267">
        <f t="shared" si="6"/>
        <v>0</v>
      </c>
      <c r="AF9" s="267">
        <f t="shared" si="6"/>
        <v>0</v>
      </c>
      <c r="AG9" s="267">
        <f t="shared" si="6"/>
        <v>0</v>
      </c>
      <c r="AH9" s="267">
        <f aca="true" t="shared" si="7" ref="AH9:BM9">SUM(AH10:AH15)</f>
        <v>0</v>
      </c>
      <c r="AI9" s="267">
        <f t="shared" si="7"/>
        <v>0</v>
      </c>
      <c r="AJ9" s="268">
        <f t="shared" si="7"/>
        <v>0</v>
      </c>
      <c r="AK9" s="267">
        <f t="shared" si="7"/>
        <v>0</v>
      </c>
      <c r="AL9" s="267">
        <f t="shared" si="7"/>
        <v>0</v>
      </c>
      <c r="AM9" s="267">
        <f t="shared" si="7"/>
        <v>0</v>
      </c>
      <c r="AN9" s="267">
        <f t="shared" si="7"/>
        <v>0</v>
      </c>
      <c r="AO9" s="267">
        <f t="shared" si="7"/>
        <v>0</v>
      </c>
      <c r="AP9" s="267">
        <f t="shared" si="7"/>
        <v>0</v>
      </c>
      <c r="AQ9" s="268">
        <f t="shared" si="7"/>
        <v>0</v>
      </c>
      <c r="AR9" s="267">
        <f t="shared" si="7"/>
        <v>0</v>
      </c>
      <c r="AS9" s="267">
        <f t="shared" si="7"/>
        <v>0</v>
      </c>
      <c r="AT9" s="267">
        <f t="shared" si="7"/>
        <v>0</v>
      </c>
      <c r="AU9" s="267">
        <f t="shared" si="7"/>
        <v>0</v>
      </c>
      <c r="AV9" s="267">
        <f t="shared" si="7"/>
        <v>0</v>
      </c>
      <c r="AW9" s="267">
        <f t="shared" si="7"/>
        <v>0</v>
      </c>
      <c r="AX9" s="268">
        <f t="shared" si="7"/>
        <v>0</v>
      </c>
      <c r="AY9" s="267">
        <f t="shared" si="7"/>
        <v>0</v>
      </c>
      <c r="AZ9" s="267">
        <f t="shared" si="7"/>
        <v>0</v>
      </c>
      <c r="BA9" s="267">
        <f t="shared" si="7"/>
        <v>0</v>
      </c>
      <c r="BB9" s="267">
        <f t="shared" si="7"/>
        <v>0</v>
      </c>
      <c r="BC9" s="267">
        <f t="shared" si="7"/>
        <v>0</v>
      </c>
      <c r="BD9" s="267">
        <f t="shared" si="7"/>
        <v>0</v>
      </c>
      <c r="BE9" s="268">
        <f t="shared" si="7"/>
        <v>0</v>
      </c>
      <c r="BF9" s="267">
        <f t="shared" si="7"/>
        <v>0</v>
      </c>
      <c r="BG9" s="267">
        <f t="shared" si="7"/>
        <v>0</v>
      </c>
      <c r="BH9" s="267">
        <f t="shared" si="7"/>
        <v>0</v>
      </c>
      <c r="BI9" s="267">
        <f t="shared" si="7"/>
        <v>0</v>
      </c>
      <c r="BJ9" s="267">
        <f t="shared" si="7"/>
        <v>0</v>
      </c>
      <c r="BK9" s="267">
        <f t="shared" si="7"/>
        <v>0</v>
      </c>
      <c r="BL9" s="268">
        <f t="shared" si="7"/>
        <v>0</v>
      </c>
      <c r="BM9" s="267">
        <f t="shared" si="7"/>
        <v>0</v>
      </c>
      <c r="BN9" s="267">
        <f aca="true" t="shared" si="8" ref="BN9:CS9">SUM(BN10:BN15)</f>
        <v>0</v>
      </c>
      <c r="BO9" s="267">
        <f t="shared" si="8"/>
        <v>0</v>
      </c>
      <c r="BP9" s="267">
        <f t="shared" si="8"/>
        <v>0</v>
      </c>
      <c r="BQ9" s="267">
        <f t="shared" si="8"/>
        <v>0</v>
      </c>
      <c r="BR9" s="267">
        <f t="shared" si="8"/>
        <v>0</v>
      </c>
      <c r="BS9" s="268">
        <f t="shared" si="8"/>
        <v>0</v>
      </c>
      <c r="BT9" s="267">
        <f t="shared" si="8"/>
        <v>0</v>
      </c>
      <c r="BU9" s="267">
        <f t="shared" si="8"/>
        <v>0</v>
      </c>
      <c r="BV9" s="267">
        <f t="shared" si="8"/>
        <v>0</v>
      </c>
      <c r="BW9" s="267">
        <f t="shared" si="8"/>
        <v>0</v>
      </c>
      <c r="BX9" s="267">
        <f t="shared" si="8"/>
        <v>0</v>
      </c>
      <c r="BY9" s="267">
        <f t="shared" si="8"/>
        <v>0</v>
      </c>
      <c r="BZ9" s="268">
        <f t="shared" si="8"/>
        <v>0</v>
      </c>
      <c r="CA9" s="267">
        <f t="shared" si="8"/>
        <v>0</v>
      </c>
      <c r="CB9" s="267">
        <f t="shared" si="8"/>
        <v>0</v>
      </c>
      <c r="CC9" s="267">
        <f t="shared" si="8"/>
        <v>0</v>
      </c>
      <c r="CD9" s="267">
        <f t="shared" si="8"/>
        <v>0</v>
      </c>
      <c r="CE9" s="267">
        <f t="shared" si="8"/>
        <v>0</v>
      </c>
      <c r="CF9" s="267">
        <f t="shared" si="8"/>
        <v>0</v>
      </c>
      <c r="CG9" s="268">
        <f t="shared" si="8"/>
        <v>0</v>
      </c>
      <c r="CH9" s="267">
        <f t="shared" si="8"/>
        <v>0</v>
      </c>
      <c r="CI9" s="267">
        <f t="shared" si="8"/>
        <v>0</v>
      </c>
      <c r="CJ9" s="267">
        <f t="shared" si="8"/>
        <v>0</v>
      </c>
      <c r="CK9" s="267">
        <f t="shared" si="8"/>
        <v>0</v>
      </c>
      <c r="CL9" s="267">
        <f t="shared" si="8"/>
        <v>0</v>
      </c>
      <c r="CM9" s="267">
        <f t="shared" si="8"/>
        <v>0</v>
      </c>
      <c r="CN9" s="268">
        <f t="shared" si="8"/>
        <v>0</v>
      </c>
      <c r="CO9" s="267">
        <f t="shared" si="8"/>
        <v>0</v>
      </c>
      <c r="CP9" s="267">
        <f t="shared" si="8"/>
        <v>0</v>
      </c>
      <c r="CQ9" s="267">
        <f t="shared" si="8"/>
        <v>0</v>
      </c>
      <c r="CR9" s="267">
        <f t="shared" si="8"/>
        <v>0</v>
      </c>
      <c r="CS9" s="267">
        <f t="shared" si="8"/>
        <v>0</v>
      </c>
      <c r="CT9" s="267">
        <f aca="true" t="shared" si="9" ref="CT9:DY9">SUM(CT10:CT15)</f>
        <v>0</v>
      </c>
      <c r="CU9" s="268">
        <f t="shared" si="9"/>
        <v>0</v>
      </c>
      <c r="CV9" s="267">
        <f t="shared" si="9"/>
        <v>0</v>
      </c>
      <c r="CW9" s="267">
        <f t="shared" si="9"/>
        <v>0</v>
      </c>
      <c r="CX9" s="267">
        <f t="shared" si="9"/>
        <v>0</v>
      </c>
      <c r="CY9" s="267">
        <f t="shared" si="9"/>
        <v>0</v>
      </c>
      <c r="CZ9" s="267">
        <f t="shared" si="9"/>
        <v>0</v>
      </c>
      <c r="DA9" s="267">
        <f t="shared" si="9"/>
        <v>0</v>
      </c>
      <c r="DB9" s="268">
        <f t="shared" si="9"/>
        <v>0</v>
      </c>
      <c r="DC9" s="267">
        <f t="shared" si="9"/>
        <v>0</v>
      </c>
      <c r="DD9" s="267">
        <f t="shared" si="9"/>
        <v>0</v>
      </c>
      <c r="DE9" s="267">
        <f t="shared" si="9"/>
        <v>0</v>
      </c>
      <c r="DF9" s="267">
        <f t="shared" si="9"/>
        <v>0</v>
      </c>
      <c r="DG9" s="267">
        <f t="shared" si="9"/>
        <v>0</v>
      </c>
      <c r="DH9" s="267">
        <f t="shared" si="9"/>
        <v>0</v>
      </c>
      <c r="DI9" s="268">
        <f t="shared" si="9"/>
        <v>0</v>
      </c>
      <c r="DJ9" s="267">
        <f t="shared" si="9"/>
        <v>0</v>
      </c>
      <c r="DK9" s="267">
        <f t="shared" si="9"/>
        <v>0</v>
      </c>
      <c r="DL9" s="267">
        <f t="shared" si="9"/>
        <v>0</v>
      </c>
      <c r="DM9" s="267">
        <f t="shared" si="9"/>
        <v>0</v>
      </c>
      <c r="DN9" s="267">
        <f t="shared" si="9"/>
        <v>0</v>
      </c>
      <c r="DO9" s="267">
        <f t="shared" si="9"/>
        <v>0</v>
      </c>
      <c r="DP9" s="268">
        <f t="shared" si="9"/>
        <v>0</v>
      </c>
      <c r="DQ9" s="267">
        <f t="shared" si="9"/>
        <v>0</v>
      </c>
      <c r="DR9" s="267">
        <f t="shared" si="9"/>
        <v>0</v>
      </c>
      <c r="DS9" s="267">
        <f t="shared" si="9"/>
        <v>0</v>
      </c>
      <c r="DT9" s="267">
        <f t="shared" si="9"/>
        <v>0</v>
      </c>
      <c r="DU9" s="267">
        <f t="shared" si="9"/>
        <v>0</v>
      </c>
      <c r="DV9" s="267">
        <f t="shared" si="9"/>
        <v>0</v>
      </c>
      <c r="DW9" s="268">
        <f t="shared" si="9"/>
        <v>0</v>
      </c>
      <c r="DX9" s="267">
        <f t="shared" si="9"/>
        <v>0</v>
      </c>
      <c r="DY9" s="267">
        <f t="shared" si="9"/>
        <v>0</v>
      </c>
      <c r="DZ9" s="267">
        <f aca="true" t="shared" si="10" ref="DZ9:FE9">SUM(DZ10:DZ15)</f>
        <v>0</v>
      </c>
      <c r="EA9" s="267">
        <f t="shared" si="10"/>
        <v>0</v>
      </c>
      <c r="EB9" s="267">
        <f t="shared" si="10"/>
        <v>0</v>
      </c>
      <c r="EC9" s="267">
        <f t="shared" si="10"/>
        <v>0</v>
      </c>
      <c r="ED9" s="268">
        <f t="shared" si="10"/>
        <v>0</v>
      </c>
      <c r="EE9" s="267">
        <f t="shared" si="10"/>
        <v>0</v>
      </c>
      <c r="EF9" s="267">
        <f t="shared" si="10"/>
        <v>0</v>
      </c>
      <c r="EG9" s="267">
        <f t="shared" si="10"/>
        <v>0</v>
      </c>
      <c r="EH9" s="267">
        <f t="shared" si="10"/>
        <v>0</v>
      </c>
      <c r="EI9" s="267">
        <f t="shared" si="10"/>
        <v>0</v>
      </c>
      <c r="EJ9" s="267">
        <f t="shared" si="10"/>
        <v>0</v>
      </c>
      <c r="EK9" s="268">
        <f t="shared" si="10"/>
        <v>0</v>
      </c>
      <c r="EL9" s="267">
        <f t="shared" si="10"/>
        <v>0</v>
      </c>
      <c r="EM9" s="267">
        <f t="shared" si="10"/>
        <v>0</v>
      </c>
      <c r="EN9" s="267">
        <f t="shared" si="10"/>
        <v>0</v>
      </c>
      <c r="EO9" s="267">
        <f t="shared" si="10"/>
        <v>0</v>
      </c>
      <c r="EP9" s="267">
        <f t="shared" si="10"/>
        <v>0</v>
      </c>
      <c r="EQ9" s="267">
        <f t="shared" si="10"/>
        <v>0</v>
      </c>
      <c r="ER9" s="268">
        <f t="shared" si="10"/>
        <v>0</v>
      </c>
      <c r="ES9" s="267">
        <f t="shared" si="10"/>
        <v>0</v>
      </c>
      <c r="ET9" s="267">
        <f t="shared" si="10"/>
        <v>0</v>
      </c>
      <c r="EU9" s="267">
        <f t="shared" si="10"/>
        <v>0</v>
      </c>
      <c r="EV9" s="267">
        <f t="shared" si="10"/>
        <v>0</v>
      </c>
      <c r="EW9" s="267">
        <f t="shared" si="10"/>
        <v>0</v>
      </c>
      <c r="EX9" s="267">
        <f t="shared" si="10"/>
        <v>0</v>
      </c>
      <c r="EY9" s="268">
        <f t="shared" si="10"/>
        <v>0</v>
      </c>
      <c r="EZ9" s="267">
        <f t="shared" si="10"/>
        <v>0</v>
      </c>
      <c r="FA9" s="267">
        <f t="shared" si="10"/>
        <v>0</v>
      </c>
      <c r="FB9" s="267">
        <f t="shared" si="10"/>
        <v>0</v>
      </c>
      <c r="FC9" s="267">
        <f t="shared" si="10"/>
        <v>0</v>
      </c>
      <c r="FD9" s="267">
        <f t="shared" si="10"/>
        <v>0</v>
      </c>
      <c r="FE9" s="267">
        <f t="shared" si="10"/>
        <v>0</v>
      </c>
      <c r="FF9" s="268">
        <f aca="true" t="shared" si="11" ref="FF9:GH9">SUM(FF10:FF15)</f>
        <v>0</v>
      </c>
      <c r="FG9" s="267">
        <f t="shared" si="11"/>
        <v>0</v>
      </c>
      <c r="FH9" s="267">
        <f t="shared" si="11"/>
        <v>0</v>
      </c>
      <c r="FI9" s="267">
        <f t="shared" si="11"/>
        <v>0</v>
      </c>
      <c r="FJ9" s="267">
        <f t="shared" si="11"/>
        <v>0</v>
      </c>
      <c r="FK9" s="267">
        <f t="shared" si="11"/>
        <v>0</v>
      </c>
      <c r="FL9" s="267">
        <f t="shared" si="11"/>
        <v>0</v>
      </c>
      <c r="FM9" s="268">
        <f t="shared" si="11"/>
        <v>0</v>
      </c>
      <c r="FN9" s="267">
        <f t="shared" si="11"/>
        <v>0</v>
      </c>
      <c r="FO9" s="267">
        <f t="shared" si="11"/>
        <v>0</v>
      </c>
      <c r="FP9" s="267">
        <f t="shared" si="11"/>
        <v>0</v>
      </c>
      <c r="FQ9" s="267">
        <f t="shared" si="11"/>
        <v>0</v>
      </c>
      <c r="FR9" s="267">
        <f t="shared" si="11"/>
        <v>0</v>
      </c>
      <c r="FS9" s="267">
        <f t="shared" si="11"/>
        <v>0</v>
      </c>
      <c r="FT9" s="268">
        <f t="shared" si="11"/>
        <v>0</v>
      </c>
      <c r="FU9" s="267">
        <f t="shared" si="11"/>
        <v>0</v>
      </c>
      <c r="FV9" s="267">
        <f t="shared" si="11"/>
        <v>0</v>
      </c>
      <c r="FW9" s="267">
        <f t="shared" si="11"/>
        <v>0</v>
      </c>
      <c r="FX9" s="267">
        <f t="shared" si="11"/>
        <v>0</v>
      </c>
      <c r="FY9" s="267">
        <f t="shared" si="11"/>
        <v>0</v>
      </c>
      <c r="FZ9" s="267">
        <f t="shared" si="11"/>
        <v>0</v>
      </c>
      <c r="GA9" s="268">
        <f t="shared" si="11"/>
        <v>0</v>
      </c>
      <c r="GB9" s="267">
        <f t="shared" si="11"/>
        <v>0</v>
      </c>
      <c r="GC9" s="267">
        <f t="shared" si="11"/>
        <v>0</v>
      </c>
      <c r="GD9" s="267">
        <f t="shared" si="11"/>
        <v>0</v>
      </c>
      <c r="GE9" s="267">
        <f t="shared" si="11"/>
        <v>0</v>
      </c>
      <c r="GF9" s="267">
        <f t="shared" si="11"/>
        <v>0</v>
      </c>
      <c r="GG9" s="267">
        <f t="shared" si="11"/>
        <v>0</v>
      </c>
      <c r="GH9" s="268">
        <f t="shared" si="11"/>
        <v>0</v>
      </c>
    </row>
    <row r="10" spans="1:190" ht="12.75">
      <c r="A10" s="269" t="s">
        <v>259</v>
      </c>
      <c r="B10" s="270"/>
      <c r="C10" s="270"/>
      <c r="D10" s="270">
        <v>0.4</v>
      </c>
      <c r="E10" s="270"/>
      <c r="F10" s="270"/>
      <c r="G10" s="270"/>
      <c r="H10" s="271"/>
      <c r="I10" s="270"/>
      <c r="J10" s="270"/>
      <c r="K10" s="270"/>
      <c r="L10" s="270"/>
      <c r="M10" s="270"/>
      <c r="N10" s="270"/>
      <c r="O10" s="271"/>
      <c r="P10" s="270"/>
      <c r="Q10" s="270"/>
      <c r="R10" s="270"/>
      <c r="S10" s="270"/>
      <c r="T10" s="270"/>
      <c r="U10" s="270"/>
      <c r="V10" s="271"/>
      <c r="W10" s="270"/>
      <c r="X10" s="270"/>
      <c r="Y10" s="270"/>
      <c r="Z10" s="270"/>
      <c r="AA10" s="270"/>
      <c r="AB10" s="270"/>
      <c r="AC10" s="271"/>
      <c r="AD10" s="270"/>
      <c r="AE10" s="270"/>
      <c r="AF10" s="270"/>
      <c r="AG10" s="270"/>
      <c r="AH10" s="270"/>
      <c r="AI10" s="270"/>
      <c r="AJ10" s="271"/>
      <c r="AK10" s="270"/>
      <c r="AL10" s="270"/>
      <c r="AM10" s="270"/>
      <c r="AN10" s="270"/>
      <c r="AO10" s="270"/>
      <c r="AP10" s="270"/>
      <c r="AQ10" s="271"/>
      <c r="AR10" s="270"/>
      <c r="AS10" s="270"/>
      <c r="AT10" s="270"/>
      <c r="AU10" s="270"/>
      <c r="AV10" s="270"/>
      <c r="AW10" s="270"/>
      <c r="AX10" s="271"/>
      <c r="AY10" s="270"/>
      <c r="AZ10" s="270"/>
      <c r="BA10" s="270"/>
      <c r="BB10" s="270"/>
      <c r="BC10" s="270"/>
      <c r="BD10" s="270"/>
      <c r="BE10" s="271"/>
      <c r="BF10" s="270"/>
      <c r="BG10" s="270"/>
      <c r="BH10" s="270"/>
      <c r="BI10" s="270"/>
      <c r="BJ10" s="270"/>
      <c r="BK10" s="270"/>
      <c r="BL10" s="271"/>
      <c r="BM10" s="270"/>
      <c r="BN10" s="270"/>
      <c r="BO10" s="270"/>
      <c r="BP10" s="270"/>
      <c r="BQ10" s="270"/>
      <c r="BR10" s="270"/>
      <c r="BS10" s="271"/>
      <c r="BT10" s="270"/>
      <c r="BU10" s="270"/>
      <c r="BV10" s="270"/>
      <c r="BW10" s="270"/>
      <c r="BX10" s="270"/>
      <c r="BY10" s="270"/>
      <c r="BZ10" s="271"/>
      <c r="CA10" s="270"/>
      <c r="CB10" s="270"/>
      <c r="CC10" s="270"/>
      <c r="CD10" s="270"/>
      <c r="CE10" s="270"/>
      <c r="CF10" s="270"/>
      <c r="CG10" s="271"/>
      <c r="CH10" s="270"/>
      <c r="CI10" s="270"/>
      <c r="CJ10" s="270"/>
      <c r="CK10" s="270"/>
      <c r="CL10" s="270"/>
      <c r="CM10" s="270"/>
      <c r="CN10" s="271"/>
      <c r="CO10" s="270"/>
      <c r="CP10" s="270"/>
      <c r="CQ10" s="270"/>
      <c r="CR10" s="270"/>
      <c r="CS10" s="270"/>
      <c r="CT10" s="270"/>
      <c r="CU10" s="271"/>
      <c r="CV10" s="270"/>
      <c r="CW10" s="270"/>
      <c r="CX10" s="270"/>
      <c r="CY10" s="270"/>
      <c r="CZ10" s="270"/>
      <c r="DA10" s="270"/>
      <c r="DB10" s="271"/>
      <c r="DC10" s="270"/>
      <c r="DD10" s="270"/>
      <c r="DE10" s="270"/>
      <c r="DF10" s="270"/>
      <c r="DG10" s="270"/>
      <c r="DH10" s="270"/>
      <c r="DI10" s="271"/>
      <c r="DJ10" s="270"/>
      <c r="DK10" s="270"/>
      <c r="DL10" s="270"/>
      <c r="DM10" s="270"/>
      <c r="DN10" s="270"/>
      <c r="DO10" s="270"/>
      <c r="DP10" s="271"/>
      <c r="DQ10" s="270"/>
      <c r="DR10" s="270"/>
      <c r="DS10" s="270"/>
      <c r="DT10" s="270"/>
      <c r="DU10" s="270"/>
      <c r="DV10" s="270"/>
      <c r="DW10" s="271"/>
      <c r="DX10" s="270"/>
      <c r="DY10" s="270"/>
      <c r="DZ10" s="270"/>
      <c r="EA10" s="270"/>
      <c r="EB10" s="270"/>
      <c r="EC10" s="270"/>
      <c r="ED10" s="271"/>
      <c r="EE10" s="270"/>
      <c r="EF10" s="270"/>
      <c r="EG10" s="270"/>
      <c r="EH10" s="270"/>
      <c r="EI10" s="270"/>
      <c r="EJ10" s="270"/>
      <c r="EK10" s="271"/>
      <c r="EL10" s="270"/>
      <c r="EM10" s="270"/>
      <c r="EN10" s="270"/>
      <c r="EO10" s="270"/>
      <c r="EP10" s="270"/>
      <c r="EQ10" s="270"/>
      <c r="ER10" s="271"/>
      <c r="ES10" s="270"/>
      <c r="ET10" s="270"/>
      <c r="EU10" s="270"/>
      <c r="EV10" s="270"/>
      <c r="EW10" s="270"/>
      <c r="EX10" s="270"/>
      <c r="EY10" s="271"/>
      <c r="EZ10" s="270"/>
      <c r="FA10" s="270"/>
      <c r="FB10" s="270"/>
      <c r="FC10" s="270"/>
      <c r="FD10" s="270"/>
      <c r="FE10" s="270"/>
      <c r="FF10" s="271"/>
      <c r="FG10" s="270"/>
      <c r="FH10" s="270"/>
      <c r="FI10" s="270"/>
      <c r="FJ10" s="270"/>
      <c r="FK10" s="270"/>
      <c r="FL10" s="270"/>
      <c r="FM10" s="271"/>
      <c r="FN10" s="270"/>
      <c r="FO10" s="270"/>
      <c r="FP10" s="270"/>
      <c r="FQ10" s="270"/>
      <c r="FR10" s="270"/>
      <c r="FS10" s="270"/>
      <c r="FT10" s="271"/>
      <c r="FU10" s="270"/>
      <c r="FV10" s="270"/>
      <c r="FW10" s="270"/>
      <c r="FX10" s="270"/>
      <c r="FY10" s="270"/>
      <c r="FZ10" s="270"/>
      <c r="GA10" s="271"/>
      <c r="GB10" s="270"/>
      <c r="GC10" s="270"/>
      <c r="GD10" s="270"/>
      <c r="GE10" s="270"/>
      <c r="GF10" s="270"/>
      <c r="GG10" s="270"/>
      <c r="GH10" s="271"/>
    </row>
    <row r="11" spans="1:190" ht="12.75">
      <c r="A11" s="269" t="s">
        <v>1</v>
      </c>
      <c r="B11" s="270"/>
      <c r="C11" s="270"/>
      <c r="D11" s="270"/>
      <c r="E11" s="270"/>
      <c r="F11" s="270"/>
      <c r="G11" s="270"/>
      <c r="H11" s="271"/>
      <c r="I11" s="270"/>
      <c r="J11" s="270"/>
      <c r="K11" s="270"/>
      <c r="L11" s="270"/>
      <c r="M11" s="270"/>
      <c r="N11" s="270"/>
      <c r="O11" s="271"/>
      <c r="P11" s="270"/>
      <c r="Q11" s="270"/>
      <c r="R11" s="270"/>
      <c r="S11" s="270"/>
      <c r="T11" s="270"/>
      <c r="U11" s="270"/>
      <c r="V11" s="271"/>
      <c r="W11" s="270"/>
      <c r="X11" s="270"/>
      <c r="Y11" s="270"/>
      <c r="Z11" s="270"/>
      <c r="AA11" s="270"/>
      <c r="AB11" s="270"/>
      <c r="AC11" s="271"/>
      <c r="AD11" s="270"/>
      <c r="AE11" s="270"/>
      <c r="AF11" s="270"/>
      <c r="AG11" s="270"/>
      <c r="AH11" s="270"/>
      <c r="AI11" s="270"/>
      <c r="AJ11" s="271"/>
      <c r="AK11" s="270"/>
      <c r="AL11" s="270"/>
      <c r="AM11" s="270"/>
      <c r="AN11" s="270"/>
      <c r="AO11" s="270"/>
      <c r="AP11" s="270"/>
      <c r="AQ11" s="271"/>
      <c r="AR11" s="270"/>
      <c r="AS11" s="270"/>
      <c r="AT11" s="270"/>
      <c r="AU11" s="270"/>
      <c r="AV11" s="270"/>
      <c r="AW11" s="270"/>
      <c r="AX11" s="271"/>
      <c r="AY11" s="270"/>
      <c r="AZ11" s="270"/>
      <c r="BA11" s="270"/>
      <c r="BB11" s="270"/>
      <c r="BC11" s="270"/>
      <c r="BD11" s="270"/>
      <c r="BE11" s="271"/>
      <c r="BF11" s="270"/>
      <c r="BG11" s="270"/>
      <c r="BH11" s="270"/>
      <c r="BI11" s="270"/>
      <c r="BJ11" s="270"/>
      <c r="BK11" s="270"/>
      <c r="BL11" s="271"/>
      <c r="BM11" s="270"/>
      <c r="BN11" s="270"/>
      <c r="BO11" s="270"/>
      <c r="BP11" s="270"/>
      <c r="BQ11" s="270"/>
      <c r="BR11" s="270"/>
      <c r="BS11" s="271"/>
      <c r="BT11" s="270"/>
      <c r="BU11" s="270"/>
      <c r="BV11" s="270"/>
      <c r="BW11" s="270"/>
      <c r="BX11" s="270"/>
      <c r="BY11" s="270"/>
      <c r="BZ11" s="271"/>
      <c r="CA11" s="270"/>
      <c r="CB11" s="270"/>
      <c r="CC11" s="270"/>
      <c r="CD11" s="270"/>
      <c r="CE11" s="270"/>
      <c r="CF11" s="270"/>
      <c r="CG11" s="271"/>
      <c r="CH11" s="270"/>
      <c r="CI11" s="270"/>
      <c r="CJ11" s="270"/>
      <c r="CK11" s="270"/>
      <c r="CL11" s="270"/>
      <c r="CM11" s="270"/>
      <c r="CN11" s="271"/>
      <c r="CO11" s="270"/>
      <c r="CP11" s="270"/>
      <c r="CQ11" s="270"/>
      <c r="CR11" s="270"/>
      <c r="CS11" s="270"/>
      <c r="CT11" s="270"/>
      <c r="CU11" s="271"/>
      <c r="CV11" s="270"/>
      <c r="CW11" s="270"/>
      <c r="CX11" s="270"/>
      <c r="CY11" s="270"/>
      <c r="CZ11" s="270"/>
      <c r="DA11" s="270"/>
      <c r="DB11" s="271"/>
      <c r="DC11" s="270"/>
      <c r="DD11" s="270"/>
      <c r="DE11" s="270"/>
      <c r="DF11" s="270"/>
      <c r="DG11" s="270"/>
      <c r="DH11" s="270"/>
      <c r="DI11" s="271"/>
      <c r="DJ11" s="270"/>
      <c r="DK11" s="270"/>
      <c r="DL11" s="270"/>
      <c r="DM11" s="270"/>
      <c r="DN11" s="270"/>
      <c r="DO11" s="270"/>
      <c r="DP11" s="271"/>
      <c r="DQ11" s="270"/>
      <c r="DR11" s="270"/>
      <c r="DS11" s="270"/>
      <c r="DT11" s="270"/>
      <c r="DU11" s="270"/>
      <c r="DV11" s="270"/>
      <c r="DW11" s="271"/>
      <c r="DX11" s="270"/>
      <c r="DY11" s="270"/>
      <c r="DZ11" s="270"/>
      <c r="EA11" s="270"/>
      <c r="EB11" s="270"/>
      <c r="EC11" s="270"/>
      <c r="ED11" s="271"/>
      <c r="EE11" s="270"/>
      <c r="EF11" s="270"/>
      <c r="EG11" s="270"/>
      <c r="EH11" s="270"/>
      <c r="EI11" s="270"/>
      <c r="EJ11" s="270"/>
      <c r="EK11" s="271"/>
      <c r="EL11" s="270"/>
      <c r="EM11" s="270"/>
      <c r="EN11" s="270"/>
      <c r="EO11" s="270"/>
      <c r="EP11" s="270"/>
      <c r="EQ11" s="270"/>
      <c r="ER11" s="271"/>
      <c r="ES11" s="270"/>
      <c r="ET11" s="270"/>
      <c r="EU11" s="270"/>
      <c r="EV11" s="270"/>
      <c r="EW11" s="270"/>
      <c r="EX11" s="270"/>
      <c r="EY11" s="271"/>
      <c r="EZ11" s="270"/>
      <c r="FA11" s="270"/>
      <c r="FB11" s="270"/>
      <c r="FC11" s="270"/>
      <c r="FD11" s="270"/>
      <c r="FE11" s="270"/>
      <c r="FF11" s="271"/>
      <c r="FG11" s="270"/>
      <c r="FH11" s="270"/>
      <c r="FI11" s="270"/>
      <c r="FJ11" s="270"/>
      <c r="FK11" s="270"/>
      <c r="FL11" s="270"/>
      <c r="FM11" s="271"/>
      <c r="FN11" s="270"/>
      <c r="FO11" s="270"/>
      <c r="FP11" s="270"/>
      <c r="FQ11" s="270"/>
      <c r="FR11" s="270"/>
      <c r="FS11" s="270"/>
      <c r="FT11" s="271"/>
      <c r="FU11" s="270"/>
      <c r="FV11" s="270"/>
      <c r="FW11" s="270"/>
      <c r="FX11" s="270"/>
      <c r="FY11" s="270"/>
      <c r="FZ11" s="270"/>
      <c r="GA11" s="271"/>
      <c r="GB11" s="270"/>
      <c r="GC11" s="270"/>
      <c r="GD11" s="270"/>
      <c r="GE11" s="270"/>
      <c r="GF11" s="270"/>
      <c r="GG11" s="270"/>
      <c r="GH11" s="271"/>
    </row>
    <row r="12" spans="1:190" ht="12.75">
      <c r="A12" s="269" t="s">
        <v>260</v>
      </c>
      <c r="B12" s="270"/>
      <c r="C12" s="270"/>
      <c r="D12" s="270"/>
      <c r="E12" s="270"/>
      <c r="F12" s="270"/>
      <c r="G12" s="270"/>
      <c r="H12" s="271"/>
      <c r="I12" s="270"/>
      <c r="J12" s="270"/>
      <c r="K12" s="270"/>
      <c r="L12" s="270"/>
      <c r="M12" s="270"/>
      <c r="N12" s="270"/>
      <c r="O12" s="271"/>
      <c r="P12" s="270"/>
      <c r="Q12" s="270"/>
      <c r="R12" s="270"/>
      <c r="S12" s="270"/>
      <c r="T12" s="270"/>
      <c r="U12" s="270"/>
      <c r="V12" s="271"/>
      <c r="W12" s="270"/>
      <c r="X12" s="270"/>
      <c r="Y12" s="270"/>
      <c r="Z12" s="270"/>
      <c r="AA12" s="270"/>
      <c r="AB12" s="270"/>
      <c r="AC12" s="271"/>
      <c r="AD12" s="270"/>
      <c r="AE12" s="270"/>
      <c r="AF12" s="270"/>
      <c r="AG12" s="270"/>
      <c r="AH12" s="270"/>
      <c r="AI12" s="270"/>
      <c r="AJ12" s="271"/>
      <c r="AK12" s="270"/>
      <c r="AL12" s="270"/>
      <c r="AM12" s="270"/>
      <c r="AN12" s="270"/>
      <c r="AO12" s="270"/>
      <c r="AP12" s="270"/>
      <c r="AQ12" s="271"/>
      <c r="AR12" s="270"/>
      <c r="AS12" s="270"/>
      <c r="AT12" s="270"/>
      <c r="AU12" s="270"/>
      <c r="AV12" s="270"/>
      <c r="AW12" s="270"/>
      <c r="AX12" s="271"/>
      <c r="AY12" s="270"/>
      <c r="AZ12" s="270"/>
      <c r="BA12" s="270"/>
      <c r="BB12" s="270"/>
      <c r="BC12" s="270"/>
      <c r="BD12" s="270"/>
      <c r="BE12" s="271"/>
      <c r="BF12" s="270"/>
      <c r="BG12" s="270"/>
      <c r="BH12" s="270"/>
      <c r="BI12" s="270"/>
      <c r="BJ12" s="270"/>
      <c r="BK12" s="270"/>
      <c r="BL12" s="271"/>
      <c r="BM12" s="270"/>
      <c r="BN12" s="270"/>
      <c r="BO12" s="270"/>
      <c r="BP12" s="270"/>
      <c r="BQ12" s="270"/>
      <c r="BR12" s="270"/>
      <c r="BS12" s="271"/>
      <c r="BT12" s="270"/>
      <c r="BU12" s="270"/>
      <c r="BV12" s="270"/>
      <c r="BW12" s="270"/>
      <c r="BX12" s="270"/>
      <c r="BY12" s="270"/>
      <c r="BZ12" s="271"/>
      <c r="CA12" s="270"/>
      <c r="CB12" s="270"/>
      <c r="CC12" s="270"/>
      <c r="CD12" s="270"/>
      <c r="CE12" s="270"/>
      <c r="CF12" s="270"/>
      <c r="CG12" s="271"/>
      <c r="CH12" s="270"/>
      <c r="CI12" s="270"/>
      <c r="CJ12" s="270"/>
      <c r="CK12" s="270"/>
      <c r="CL12" s="270"/>
      <c r="CM12" s="270"/>
      <c r="CN12" s="271"/>
      <c r="CO12" s="270"/>
      <c r="CP12" s="270"/>
      <c r="CQ12" s="270"/>
      <c r="CR12" s="270"/>
      <c r="CS12" s="270"/>
      <c r="CT12" s="270"/>
      <c r="CU12" s="271"/>
      <c r="CV12" s="270"/>
      <c r="CW12" s="270"/>
      <c r="CX12" s="270"/>
      <c r="CY12" s="270"/>
      <c r="CZ12" s="270"/>
      <c r="DA12" s="270"/>
      <c r="DB12" s="271"/>
      <c r="DC12" s="270"/>
      <c r="DD12" s="270"/>
      <c r="DE12" s="270"/>
      <c r="DF12" s="270"/>
      <c r="DG12" s="270"/>
      <c r="DH12" s="270"/>
      <c r="DI12" s="271"/>
      <c r="DJ12" s="270"/>
      <c r="DK12" s="270"/>
      <c r="DL12" s="270"/>
      <c r="DM12" s="270"/>
      <c r="DN12" s="270"/>
      <c r="DO12" s="270"/>
      <c r="DP12" s="271"/>
      <c r="DQ12" s="270"/>
      <c r="DR12" s="270"/>
      <c r="DS12" s="270"/>
      <c r="DT12" s="270"/>
      <c r="DU12" s="270"/>
      <c r="DV12" s="270"/>
      <c r="DW12" s="271"/>
      <c r="DX12" s="270"/>
      <c r="DY12" s="270"/>
      <c r="DZ12" s="270"/>
      <c r="EA12" s="270"/>
      <c r="EB12" s="270"/>
      <c r="EC12" s="270"/>
      <c r="ED12" s="271"/>
      <c r="EE12" s="270"/>
      <c r="EF12" s="270"/>
      <c r="EG12" s="270"/>
      <c r="EH12" s="270"/>
      <c r="EI12" s="270"/>
      <c r="EJ12" s="270"/>
      <c r="EK12" s="271"/>
      <c r="EL12" s="270"/>
      <c r="EM12" s="270"/>
      <c r="EN12" s="270"/>
      <c r="EO12" s="270"/>
      <c r="EP12" s="270"/>
      <c r="EQ12" s="270"/>
      <c r="ER12" s="271"/>
      <c r="ES12" s="270"/>
      <c r="ET12" s="270"/>
      <c r="EU12" s="270"/>
      <c r="EV12" s="270"/>
      <c r="EW12" s="270"/>
      <c r="EX12" s="270"/>
      <c r="EY12" s="271"/>
      <c r="EZ12" s="270"/>
      <c r="FA12" s="270"/>
      <c r="FB12" s="270"/>
      <c r="FC12" s="270"/>
      <c r="FD12" s="270"/>
      <c r="FE12" s="270"/>
      <c r="FF12" s="271"/>
      <c r="FG12" s="270"/>
      <c r="FH12" s="270"/>
      <c r="FI12" s="270"/>
      <c r="FJ12" s="270"/>
      <c r="FK12" s="270"/>
      <c r="FL12" s="270"/>
      <c r="FM12" s="271"/>
      <c r="FN12" s="270"/>
      <c r="FO12" s="270"/>
      <c r="FP12" s="270"/>
      <c r="FQ12" s="270"/>
      <c r="FR12" s="270"/>
      <c r="FS12" s="270"/>
      <c r="FT12" s="271"/>
      <c r="FU12" s="270"/>
      <c r="FV12" s="270"/>
      <c r="FW12" s="270"/>
      <c r="FX12" s="270"/>
      <c r="FY12" s="270"/>
      <c r="FZ12" s="270"/>
      <c r="GA12" s="271"/>
      <c r="GB12" s="270"/>
      <c r="GC12" s="270"/>
      <c r="GD12" s="270"/>
      <c r="GE12" s="270"/>
      <c r="GF12" s="270"/>
      <c r="GG12" s="270"/>
      <c r="GH12" s="271"/>
    </row>
    <row r="13" spans="1:190" ht="12.75">
      <c r="A13" s="269" t="s">
        <v>261</v>
      </c>
      <c r="B13" s="270"/>
      <c r="C13" s="270"/>
      <c r="D13" s="270"/>
      <c r="E13" s="270"/>
      <c r="F13" s="270"/>
      <c r="G13" s="270"/>
      <c r="H13" s="271"/>
      <c r="I13" s="270"/>
      <c r="J13" s="270"/>
      <c r="K13" s="270"/>
      <c r="L13" s="270"/>
      <c r="M13" s="270"/>
      <c r="N13" s="270"/>
      <c r="O13" s="271"/>
      <c r="P13" s="270"/>
      <c r="Q13" s="270"/>
      <c r="R13" s="270"/>
      <c r="S13" s="270"/>
      <c r="T13" s="270"/>
      <c r="U13" s="270"/>
      <c r="V13" s="271"/>
      <c r="W13" s="270"/>
      <c r="X13" s="270"/>
      <c r="Y13" s="270"/>
      <c r="Z13" s="270"/>
      <c r="AA13" s="270"/>
      <c r="AB13" s="270"/>
      <c r="AC13" s="271"/>
      <c r="AD13" s="270"/>
      <c r="AE13" s="270"/>
      <c r="AF13" s="270"/>
      <c r="AG13" s="270"/>
      <c r="AH13" s="270"/>
      <c r="AI13" s="270"/>
      <c r="AJ13" s="271"/>
      <c r="AK13" s="270"/>
      <c r="AL13" s="270"/>
      <c r="AM13" s="270"/>
      <c r="AN13" s="270"/>
      <c r="AO13" s="270"/>
      <c r="AP13" s="270"/>
      <c r="AQ13" s="271"/>
      <c r="AR13" s="270"/>
      <c r="AS13" s="270"/>
      <c r="AT13" s="270"/>
      <c r="AU13" s="270"/>
      <c r="AV13" s="270"/>
      <c r="AW13" s="270"/>
      <c r="AX13" s="271"/>
      <c r="AY13" s="270"/>
      <c r="AZ13" s="270"/>
      <c r="BA13" s="270"/>
      <c r="BB13" s="270"/>
      <c r="BC13" s="270"/>
      <c r="BD13" s="270"/>
      <c r="BE13" s="271"/>
      <c r="BF13" s="270"/>
      <c r="BG13" s="270"/>
      <c r="BH13" s="270"/>
      <c r="BI13" s="270"/>
      <c r="BJ13" s="270"/>
      <c r="BK13" s="270"/>
      <c r="BL13" s="271"/>
      <c r="BM13" s="270"/>
      <c r="BN13" s="270"/>
      <c r="BO13" s="270"/>
      <c r="BP13" s="270"/>
      <c r="BQ13" s="270"/>
      <c r="BR13" s="270"/>
      <c r="BS13" s="271"/>
      <c r="BT13" s="270"/>
      <c r="BU13" s="270"/>
      <c r="BV13" s="270"/>
      <c r="BW13" s="270"/>
      <c r="BX13" s="270"/>
      <c r="BY13" s="270"/>
      <c r="BZ13" s="271"/>
      <c r="CA13" s="270"/>
      <c r="CB13" s="270"/>
      <c r="CC13" s="270"/>
      <c r="CD13" s="270"/>
      <c r="CE13" s="270"/>
      <c r="CF13" s="270"/>
      <c r="CG13" s="271"/>
      <c r="CH13" s="270"/>
      <c r="CI13" s="270"/>
      <c r="CJ13" s="270"/>
      <c r="CK13" s="270"/>
      <c r="CL13" s="270"/>
      <c r="CM13" s="270"/>
      <c r="CN13" s="271"/>
      <c r="CO13" s="270"/>
      <c r="CP13" s="270"/>
      <c r="CQ13" s="270"/>
      <c r="CR13" s="270"/>
      <c r="CS13" s="270"/>
      <c r="CT13" s="270"/>
      <c r="CU13" s="271"/>
      <c r="CV13" s="270"/>
      <c r="CW13" s="270"/>
      <c r="CX13" s="270"/>
      <c r="CY13" s="270"/>
      <c r="CZ13" s="270"/>
      <c r="DA13" s="270"/>
      <c r="DB13" s="271"/>
      <c r="DC13" s="270"/>
      <c r="DD13" s="270"/>
      <c r="DE13" s="270"/>
      <c r="DF13" s="270"/>
      <c r="DG13" s="270"/>
      <c r="DH13" s="270"/>
      <c r="DI13" s="271"/>
      <c r="DJ13" s="270"/>
      <c r="DK13" s="270"/>
      <c r="DL13" s="270"/>
      <c r="DM13" s="270"/>
      <c r="DN13" s="270"/>
      <c r="DO13" s="270"/>
      <c r="DP13" s="271"/>
      <c r="DQ13" s="270"/>
      <c r="DR13" s="270"/>
      <c r="DS13" s="270"/>
      <c r="DT13" s="270"/>
      <c r="DU13" s="270"/>
      <c r="DV13" s="270"/>
      <c r="DW13" s="271"/>
      <c r="DX13" s="270"/>
      <c r="DY13" s="270"/>
      <c r="DZ13" s="270"/>
      <c r="EA13" s="270"/>
      <c r="EB13" s="270"/>
      <c r="EC13" s="270"/>
      <c r="ED13" s="271"/>
      <c r="EE13" s="270"/>
      <c r="EF13" s="270"/>
      <c r="EG13" s="270"/>
      <c r="EH13" s="270"/>
      <c r="EI13" s="270"/>
      <c r="EJ13" s="270"/>
      <c r="EK13" s="271"/>
      <c r="EL13" s="270"/>
      <c r="EM13" s="270"/>
      <c r="EN13" s="270"/>
      <c r="EO13" s="270"/>
      <c r="EP13" s="270"/>
      <c r="EQ13" s="270"/>
      <c r="ER13" s="271"/>
      <c r="ES13" s="270"/>
      <c r="ET13" s="270"/>
      <c r="EU13" s="270"/>
      <c r="EV13" s="270"/>
      <c r="EW13" s="270"/>
      <c r="EX13" s="270"/>
      <c r="EY13" s="271"/>
      <c r="EZ13" s="270"/>
      <c r="FA13" s="270"/>
      <c r="FB13" s="270"/>
      <c r="FC13" s="270"/>
      <c r="FD13" s="270"/>
      <c r="FE13" s="270"/>
      <c r="FF13" s="271"/>
      <c r="FG13" s="270"/>
      <c r="FH13" s="270"/>
      <c r="FI13" s="270"/>
      <c r="FJ13" s="270"/>
      <c r="FK13" s="270"/>
      <c r="FL13" s="270"/>
      <c r="FM13" s="271"/>
      <c r="FN13" s="270"/>
      <c r="FO13" s="270"/>
      <c r="FP13" s="270"/>
      <c r="FQ13" s="270"/>
      <c r="FR13" s="270"/>
      <c r="FS13" s="270"/>
      <c r="FT13" s="271"/>
      <c r="FU13" s="270"/>
      <c r="FV13" s="270"/>
      <c r="FW13" s="270"/>
      <c r="FX13" s="270"/>
      <c r="FY13" s="270"/>
      <c r="FZ13" s="270"/>
      <c r="GA13" s="271"/>
      <c r="GB13" s="270"/>
      <c r="GC13" s="270"/>
      <c r="GD13" s="270"/>
      <c r="GE13" s="270"/>
      <c r="GF13" s="270"/>
      <c r="GG13" s="270"/>
      <c r="GH13" s="271"/>
    </row>
    <row r="14" spans="1:190" ht="12.75">
      <c r="A14" s="269" t="s">
        <v>2</v>
      </c>
      <c r="B14" s="270"/>
      <c r="C14" s="270"/>
      <c r="D14" s="270">
        <v>1.5</v>
      </c>
      <c r="E14" s="270"/>
      <c r="F14" s="270"/>
      <c r="G14" s="270"/>
      <c r="H14" s="271"/>
      <c r="I14" s="270"/>
      <c r="J14" s="270"/>
      <c r="K14" s="270"/>
      <c r="L14" s="270"/>
      <c r="M14" s="270"/>
      <c r="N14" s="270"/>
      <c r="O14" s="271"/>
      <c r="P14" s="270"/>
      <c r="Q14" s="270"/>
      <c r="R14" s="270"/>
      <c r="S14" s="270"/>
      <c r="T14" s="270"/>
      <c r="U14" s="270"/>
      <c r="V14" s="271"/>
      <c r="W14" s="270"/>
      <c r="X14" s="270"/>
      <c r="Y14" s="270"/>
      <c r="Z14" s="270"/>
      <c r="AA14" s="270"/>
      <c r="AB14" s="270"/>
      <c r="AC14" s="271"/>
      <c r="AD14" s="270"/>
      <c r="AE14" s="270"/>
      <c r="AF14" s="270"/>
      <c r="AG14" s="270"/>
      <c r="AH14" s="270"/>
      <c r="AI14" s="270"/>
      <c r="AJ14" s="271"/>
      <c r="AK14" s="270"/>
      <c r="AL14" s="270"/>
      <c r="AM14" s="270"/>
      <c r="AN14" s="270"/>
      <c r="AO14" s="270"/>
      <c r="AP14" s="270"/>
      <c r="AQ14" s="271"/>
      <c r="AR14" s="270"/>
      <c r="AS14" s="270"/>
      <c r="AT14" s="270"/>
      <c r="AU14" s="270"/>
      <c r="AV14" s="270"/>
      <c r="AW14" s="270"/>
      <c r="AX14" s="271"/>
      <c r="AY14" s="270"/>
      <c r="AZ14" s="270"/>
      <c r="BA14" s="270"/>
      <c r="BB14" s="270"/>
      <c r="BC14" s="270"/>
      <c r="BD14" s="270"/>
      <c r="BE14" s="271"/>
      <c r="BF14" s="270"/>
      <c r="BG14" s="270"/>
      <c r="BH14" s="270"/>
      <c r="BI14" s="270"/>
      <c r="BJ14" s="270"/>
      <c r="BK14" s="270"/>
      <c r="BL14" s="271"/>
      <c r="BM14" s="270"/>
      <c r="BN14" s="270"/>
      <c r="BO14" s="270"/>
      <c r="BP14" s="270"/>
      <c r="BQ14" s="270"/>
      <c r="BR14" s="270"/>
      <c r="BS14" s="271"/>
      <c r="BT14" s="270"/>
      <c r="BU14" s="270"/>
      <c r="BV14" s="270"/>
      <c r="BW14" s="270"/>
      <c r="BX14" s="270"/>
      <c r="BY14" s="270"/>
      <c r="BZ14" s="271"/>
      <c r="CA14" s="270"/>
      <c r="CB14" s="270"/>
      <c r="CC14" s="270"/>
      <c r="CD14" s="270"/>
      <c r="CE14" s="270"/>
      <c r="CF14" s="270"/>
      <c r="CG14" s="271"/>
      <c r="CH14" s="270"/>
      <c r="CI14" s="270"/>
      <c r="CJ14" s="270"/>
      <c r="CK14" s="270"/>
      <c r="CL14" s="270"/>
      <c r="CM14" s="270"/>
      <c r="CN14" s="271"/>
      <c r="CO14" s="270"/>
      <c r="CP14" s="270"/>
      <c r="CQ14" s="270"/>
      <c r="CR14" s="270"/>
      <c r="CS14" s="270"/>
      <c r="CT14" s="270"/>
      <c r="CU14" s="271"/>
      <c r="CV14" s="270"/>
      <c r="CW14" s="270"/>
      <c r="CX14" s="270"/>
      <c r="CY14" s="270"/>
      <c r="CZ14" s="270"/>
      <c r="DA14" s="270"/>
      <c r="DB14" s="271"/>
      <c r="DC14" s="270"/>
      <c r="DD14" s="270"/>
      <c r="DE14" s="270"/>
      <c r="DF14" s="270"/>
      <c r="DG14" s="270"/>
      <c r="DH14" s="270"/>
      <c r="DI14" s="271"/>
      <c r="DJ14" s="270"/>
      <c r="DK14" s="270"/>
      <c r="DL14" s="270"/>
      <c r="DM14" s="270"/>
      <c r="DN14" s="270"/>
      <c r="DO14" s="270"/>
      <c r="DP14" s="271"/>
      <c r="DQ14" s="270"/>
      <c r="DR14" s="270"/>
      <c r="DS14" s="270"/>
      <c r="DT14" s="270"/>
      <c r="DU14" s="270"/>
      <c r="DV14" s="270"/>
      <c r="DW14" s="271"/>
      <c r="DX14" s="270"/>
      <c r="DY14" s="270"/>
      <c r="DZ14" s="270"/>
      <c r="EA14" s="270"/>
      <c r="EB14" s="270"/>
      <c r="EC14" s="270"/>
      <c r="ED14" s="271"/>
      <c r="EE14" s="270"/>
      <c r="EF14" s="270"/>
      <c r="EG14" s="270"/>
      <c r="EH14" s="270"/>
      <c r="EI14" s="270"/>
      <c r="EJ14" s="270"/>
      <c r="EK14" s="271"/>
      <c r="EL14" s="270"/>
      <c r="EM14" s="270"/>
      <c r="EN14" s="270"/>
      <c r="EO14" s="270"/>
      <c r="EP14" s="270"/>
      <c r="EQ14" s="270"/>
      <c r="ER14" s="271"/>
      <c r="ES14" s="270"/>
      <c r="ET14" s="270"/>
      <c r="EU14" s="270"/>
      <c r="EV14" s="270"/>
      <c r="EW14" s="270"/>
      <c r="EX14" s="270"/>
      <c r="EY14" s="271"/>
      <c r="EZ14" s="270"/>
      <c r="FA14" s="270"/>
      <c r="FB14" s="270"/>
      <c r="FC14" s="270"/>
      <c r="FD14" s="270"/>
      <c r="FE14" s="270"/>
      <c r="FF14" s="271"/>
      <c r="FG14" s="270"/>
      <c r="FH14" s="270"/>
      <c r="FI14" s="270"/>
      <c r="FJ14" s="270"/>
      <c r="FK14" s="270"/>
      <c r="FL14" s="270"/>
      <c r="FM14" s="271"/>
      <c r="FN14" s="270"/>
      <c r="FO14" s="270"/>
      <c r="FP14" s="270"/>
      <c r="FQ14" s="270"/>
      <c r="FR14" s="270"/>
      <c r="FS14" s="270"/>
      <c r="FT14" s="271"/>
      <c r="FU14" s="270"/>
      <c r="FV14" s="270"/>
      <c r="FW14" s="270"/>
      <c r="FX14" s="270"/>
      <c r="FY14" s="270"/>
      <c r="FZ14" s="270"/>
      <c r="GA14" s="271"/>
      <c r="GB14" s="270"/>
      <c r="GC14" s="270"/>
      <c r="GD14" s="270"/>
      <c r="GE14" s="270"/>
      <c r="GF14" s="270"/>
      <c r="GG14" s="270"/>
      <c r="GH14" s="271"/>
    </row>
    <row r="15" spans="1:190" ht="12.75">
      <c r="A15" s="269" t="s">
        <v>262</v>
      </c>
      <c r="B15" s="270"/>
      <c r="C15" s="270"/>
      <c r="D15" s="270">
        <v>0.4</v>
      </c>
      <c r="E15" s="270"/>
      <c r="F15" s="270"/>
      <c r="G15" s="270"/>
      <c r="H15" s="271"/>
      <c r="I15" s="270"/>
      <c r="J15" s="270"/>
      <c r="K15" s="270"/>
      <c r="L15" s="270"/>
      <c r="M15" s="270"/>
      <c r="N15" s="270"/>
      <c r="O15" s="271"/>
      <c r="P15" s="270"/>
      <c r="Q15" s="270"/>
      <c r="R15" s="270"/>
      <c r="S15" s="270"/>
      <c r="T15" s="270"/>
      <c r="U15" s="270"/>
      <c r="V15" s="271"/>
      <c r="W15" s="270"/>
      <c r="X15" s="270"/>
      <c r="Y15" s="270"/>
      <c r="Z15" s="270"/>
      <c r="AA15" s="270"/>
      <c r="AB15" s="270"/>
      <c r="AC15" s="271"/>
      <c r="AD15" s="270"/>
      <c r="AE15" s="270"/>
      <c r="AF15" s="270"/>
      <c r="AG15" s="270"/>
      <c r="AH15" s="270"/>
      <c r="AI15" s="270"/>
      <c r="AJ15" s="271"/>
      <c r="AK15" s="270"/>
      <c r="AL15" s="270"/>
      <c r="AM15" s="270"/>
      <c r="AN15" s="270"/>
      <c r="AO15" s="270"/>
      <c r="AP15" s="270"/>
      <c r="AQ15" s="271"/>
      <c r="AR15" s="270"/>
      <c r="AS15" s="270"/>
      <c r="AT15" s="270"/>
      <c r="AU15" s="270"/>
      <c r="AV15" s="270"/>
      <c r="AW15" s="270"/>
      <c r="AX15" s="271"/>
      <c r="AY15" s="270"/>
      <c r="AZ15" s="270"/>
      <c r="BA15" s="270"/>
      <c r="BB15" s="270"/>
      <c r="BC15" s="270"/>
      <c r="BD15" s="270"/>
      <c r="BE15" s="271"/>
      <c r="BF15" s="270"/>
      <c r="BG15" s="270"/>
      <c r="BH15" s="270"/>
      <c r="BI15" s="270"/>
      <c r="BJ15" s="270"/>
      <c r="BK15" s="270"/>
      <c r="BL15" s="271"/>
      <c r="BM15" s="270"/>
      <c r="BN15" s="270"/>
      <c r="BO15" s="270"/>
      <c r="BP15" s="270"/>
      <c r="BQ15" s="270"/>
      <c r="BR15" s="270"/>
      <c r="BS15" s="271"/>
      <c r="BT15" s="270"/>
      <c r="BU15" s="270"/>
      <c r="BV15" s="270"/>
      <c r="BW15" s="270"/>
      <c r="BX15" s="270"/>
      <c r="BY15" s="270"/>
      <c r="BZ15" s="271"/>
      <c r="CA15" s="270"/>
      <c r="CB15" s="270"/>
      <c r="CC15" s="270"/>
      <c r="CD15" s="270"/>
      <c r="CE15" s="270"/>
      <c r="CF15" s="270"/>
      <c r="CG15" s="271"/>
      <c r="CH15" s="270"/>
      <c r="CI15" s="270"/>
      <c r="CJ15" s="270"/>
      <c r="CK15" s="270"/>
      <c r="CL15" s="270"/>
      <c r="CM15" s="270"/>
      <c r="CN15" s="271"/>
      <c r="CO15" s="270"/>
      <c r="CP15" s="270"/>
      <c r="CQ15" s="270"/>
      <c r="CR15" s="270"/>
      <c r="CS15" s="270"/>
      <c r="CT15" s="270"/>
      <c r="CU15" s="271"/>
      <c r="CV15" s="270"/>
      <c r="CW15" s="270"/>
      <c r="CX15" s="270"/>
      <c r="CY15" s="270"/>
      <c r="CZ15" s="270"/>
      <c r="DA15" s="270"/>
      <c r="DB15" s="271"/>
      <c r="DC15" s="270"/>
      <c r="DD15" s="270"/>
      <c r="DE15" s="270"/>
      <c r="DF15" s="270"/>
      <c r="DG15" s="270"/>
      <c r="DH15" s="270"/>
      <c r="DI15" s="271"/>
      <c r="DJ15" s="270"/>
      <c r="DK15" s="270"/>
      <c r="DL15" s="270"/>
      <c r="DM15" s="270"/>
      <c r="DN15" s="270"/>
      <c r="DO15" s="270"/>
      <c r="DP15" s="271"/>
      <c r="DQ15" s="270"/>
      <c r="DR15" s="270"/>
      <c r="DS15" s="270"/>
      <c r="DT15" s="270"/>
      <c r="DU15" s="270"/>
      <c r="DV15" s="270"/>
      <c r="DW15" s="271"/>
      <c r="DX15" s="270"/>
      <c r="DY15" s="270"/>
      <c r="DZ15" s="270"/>
      <c r="EA15" s="270"/>
      <c r="EB15" s="270"/>
      <c r="EC15" s="270"/>
      <c r="ED15" s="271"/>
      <c r="EE15" s="270"/>
      <c r="EF15" s="270"/>
      <c r="EG15" s="270"/>
      <c r="EH15" s="270"/>
      <c r="EI15" s="270"/>
      <c r="EJ15" s="270"/>
      <c r="EK15" s="271"/>
      <c r="EL15" s="270"/>
      <c r="EM15" s="270"/>
      <c r="EN15" s="270"/>
      <c r="EO15" s="270"/>
      <c r="EP15" s="270"/>
      <c r="EQ15" s="270"/>
      <c r="ER15" s="271"/>
      <c r="ES15" s="270"/>
      <c r="ET15" s="270"/>
      <c r="EU15" s="270"/>
      <c r="EV15" s="270"/>
      <c r="EW15" s="270"/>
      <c r="EX15" s="270"/>
      <c r="EY15" s="271"/>
      <c r="EZ15" s="270"/>
      <c r="FA15" s="270"/>
      <c r="FB15" s="270"/>
      <c r="FC15" s="270"/>
      <c r="FD15" s="270"/>
      <c r="FE15" s="270"/>
      <c r="FF15" s="271"/>
      <c r="FG15" s="270"/>
      <c r="FH15" s="270"/>
      <c r="FI15" s="270"/>
      <c r="FJ15" s="270"/>
      <c r="FK15" s="270"/>
      <c r="FL15" s="270"/>
      <c r="FM15" s="271"/>
      <c r="FN15" s="270"/>
      <c r="FO15" s="270"/>
      <c r="FP15" s="270"/>
      <c r="FQ15" s="270"/>
      <c r="FR15" s="270"/>
      <c r="FS15" s="270"/>
      <c r="FT15" s="271"/>
      <c r="FU15" s="270"/>
      <c r="FV15" s="270"/>
      <c r="FW15" s="270"/>
      <c r="FX15" s="270"/>
      <c r="FY15" s="270"/>
      <c r="FZ15" s="270"/>
      <c r="GA15" s="271"/>
      <c r="GB15" s="270"/>
      <c r="GC15" s="270"/>
      <c r="GD15" s="270"/>
      <c r="GE15" s="270"/>
      <c r="GF15" s="270"/>
      <c r="GG15" s="270"/>
      <c r="GH15" s="271"/>
    </row>
    <row r="16" spans="1:190" ht="12.75">
      <c r="A16" s="272" t="s">
        <v>263</v>
      </c>
      <c r="B16" s="270"/>
      <c r="C16" s="270"/>
      <c r="D16" s="270"/>
      <c r="E16" s="270"/>
      <c r="F16" s="270"/>
      <c r="G16" s="270"/>
      <c r="H16" s="271"/>
      <c r="I16" s="270"/>
      <c r="J16" s="270"/>
      <c r="K16" s="270"/>
      <c r="L16" s="270"/>
      <c r="M16" s="270"/>
      <c r="N16" s="270"/>
      <c r="O16" s="271"/>
      <c r="P16" s="270"/>
      <c r="Q16" s="270"/>
      <c r="R16" s="270"/>
      <c r="S16" s="270"/>
      <c r="T16" s="270"/>
      <c r="U16" s="270"/>
      <c r="V16" s="271"/>
      <c r="W16" s="270"/>
      <c r="X16" s="270"/>
      <c r="Y16" s="270"/>
      <c r="Z16" s="270"/>
      <c r="AA16" s="270"/>
      <c r="AB16" s="270"/>
      <c r="AC16" s="271"/>
      <c r="AD16" s="270"/>
      <c r="AE16" s="270"/>
      <c r="AF16" s="270"/>
      <c r="AG16" s="270"/>
      <c r="AH16" s="270"/>
      <c r="AI16" s="270"/>
      <c r="AJ16" s="271"/>
      <c r="AK16" s="270"/>
      <c r="AL16" s="270"/>
      <c r="AM16" s="270"/>
      <c r="AN16" s="270"/>
      <c r="AO16" s="270"/>
      <c r="AP16" s="270"/>
      <c r="AQ16" s="271"/>
      <c r="AR16" s="270"/>
      <c r="AS16" s="270"/>
      <c r="AT16" s="270"/>
      <c r="AU16" s="270"/>
      <c r="AV16" s="270"/>
      <c r="AW16" s="270"/>
      <c r="AX16" s="271"/>
      <c r="AY16" s="270"/>
      <c r="AZ16" s="270"/>
      <c r="BA16" s="270"/>
      <c r="BB16" s="270"/>
      <c r="BC16" s="270"/>
      <c r="BD16" s="270"/>
      <c r="BE16" s="271"/>
      <c r="BF16" s="270"/>
      <c r="BG16" s="270"/>
      <c r="BH16" s="270"/>
      <c r="BI16" s="270"/>
      <c r="BJ16" s="270"/>
      <c r="BK16" s="270"/>
      <c r="BL16" s="271"/>
      <c r="BM16" s="270"/>
      <c r="BN16" s="270"/>
      <c r="BO16" s="270"/>
      <c r="BP16" s="270"/>
      <c r="BQ16" s="270"/>
      <c r="BR16" s="270"/>
      <c r="BS16" s="271"/>
      <c r="BT16" s="270"/>
      <c r="BU16" s="270"/>
      <c r="BV16" s="270"/>
      <c r="BW16" s="270"/>
      <c r="BX16" s="270"/>
      <c r="BY16" s="270"/>
      <c r="BZ16" s="271"/>
      <c r="CA16" s="270"/>
      <c r="CB16" s="270"/>
      <c r="CC16" s="270"/>
      <c r="CD16" s="270"/>
      <c r="CE16" s="270"/>
      <c r="CF16" s="270"/>
      <c r="CG16" s="271"/>
      <c r="CH16" s="270"/>
      <c r="CI16" s="270"/>
      <c r="CJ16" s="270"/>
      <c r="CK16" s="270"/>
      <c r="CL16" s="270"/>
      <c r="CM16" s="270"/>
      <c r="CN16" s="271"/>
      <c r="CO16" s="270"/>
      <c r="CP16" s="270"/>
      <c r="CQ16" s="270"/>
      <c r="CR16" s="270"/>
      <c r="CS16" s="270"/>
      <c r="CT16" s="270"/>
      <c r="CU16" s="271"/>
      <c r="CV16" s="270"/>
      <c r="CW16" s="270"/>
      <c r="CX16" s="270"/>
      <c r="CY16" s="270"/>
      <c r="CZ16" s="270"/>
      <c r="DA16" s="270"/>
      <c r="DB16" s="271"/>
      <c r="DC16" s="270"/>
      <c r="DD16" s="270"/>
      <c r="DE16" s="270"/>
      <c r="DF16" s="270"/>
      <c r="DG16" s="270"/>
      <c r="DH16" s="270"/>
      <c r="DI16" s="271"/>
      <c r="DJ16" s="270"/>
      <c r="DK16" s="270"/>
      <c r="DL16" s="270"/>
      <c r="DM16" s="270"/>
      <c r="DN16" s="270"/>
      <c r="DO16" s="270"/>
      <c r="DP16" s="271"/>
      <c r="DQ16" s="270"/>
      <c r="DR16" s="270"/>
      <c r="DS16" s="270"/>
      <c r="DT16" s="270"/>
      <c r="DU16" s="270"/>
      <c r="DV16" s="270"/>
      <c r="DW16" s="271"/>
      <c r="DX16" s="270"/>
      <c r="DY16" s="270"/>
      <c r="DZ16" s="270"/>
      <c r="EA16" s="270"/>
      <c r="EB16" s="270"/>
      <c r="EC16" s="270"/>
      <c r="ED16" s="271"/>
      <c r="EE16" s="270"/>
      <c r="EF16" s="270"/>
      <c r="EG16" s="270"/>
      <c r="EH16" s="270"/>
      <c r="EI16" s="270"/>
      <c r="EJ16" s="270"/>
      <c r="EK16" s="271"/>
      <c r="EL16" s="270"/>
      <c r="EM16" s="270"/>
      <c r="EN16" s="270"/>
      <c r="EO16" s="270"/>
      <c r="EP16" s="270"/>
      <c r="EQ16" s="270"/>
      <c r="ER16" s="271"/>
      <c r="ES16" s="270"/>
      <c r="ET16" s="270"/>
      <c r="EU16" s="270"/>
      <c r="EV16" s="270"/>
      <c r="EW16" s="270"/>
      <c r="EX16" s="270"/>
      <c r="EY16" s="271"/>
      <c r="EZ16" s="270"/>
      <c r="FA16" s="270"/>
      <c r="FB16" s="270"/>
      <c r="FC16" s="270"/>
      <c r="FD16" s="270"/>
      <c r="FE16" s="270"/>
      <c r="FF16" s="271"/>
      <c r="FG16" s="270"/>
      <c r="FH16" s="270"/>
      <c r="FI16" s="270"/>
      <c r="FJ16" s="270"/>
      <c r="FK16" s="270"/>
      <c r="FL16" s="270"/>
      <c r="FM16" s="271"/>
      <c r="FN16" s="270"/>
      <c r="FO16" s="270"/>
      <c r="FP16" s="270"/>
      <c r="FQ16" s="270"/>
      <c r="FR16" s="270"/>
      <c r="FS16" s="270"/>
      <c r="FT16" s="271"/>
      <c r="FU16" s="270"/>
      <c r="FV16" s="270"/>
      <c r="FW16" s="270"/>
      <c r="FX16" s="270"/>
      <c r="FY16" s="270"/>
      <c r="FZ16" s="270"/>
      <c r="GA16" s="271"/>
      <c r="GB16" s="270"/>
      <c r="GC16" s="270"/>
      <c r="GD16" s="270"/>
      <c r="GE16" s="270"/>
      <c r="GF16" s="270"/>
      <c r="GG16" s="270"/>
      <c r="GH16" s="271"/>
    </row>
    <row r="17" spans="1:190" ht="12.75">
      <c r="A17" s="273" t="s">
        <v>264</v>
      </c>
      <c r="B17" s="274">
        <f aca="true" t="shared" si="12" ref="B17:AG17">PRODUCT(B15*40+B14*10+B13*10+B12*14+B11*13+B10*16)</f>
        <v>0</v>
      </c>
      <c r="C17" s="274">
        <f t="shared" si="12"/>
        <v>0</v>
      </c>
      <c r="D17" s="274">
        <f t="shared" si="12"/>
        <v>37.4</v>
      </c>
      <c r="E17" s="274">
        <f t="shared" si="12"/>
        <v>0</v>
      </c>
      <c r="F17" s="274">
        <f t="shared" si="12"/>
        <v>0</v>
      </c>
      <c r="G17" s="274">
        <f t="shared" si="12"/>
        <v>0</v>
      </c>
      <c r="H17" s="275">
        <f t="shared" si="12"/>
        <v>0</v>
      </c>
      <c r="I17" s="274">
        <f t="shared" si="12"/>
        <v>0</v>
      </c>
      <c r="J17" s="274">
        <f t="shared" si="12"/>
        <v>0</v>
      </c>
      <c r="K17" s="274">
        <f t="shared" si="12"/>
        <v>0</v>
      </c>
      <c r="L17" s="274">
        <f t="shared" si="12"/>
        <v>0</v>
      </c>
      <c r="M17" s="274">
        <f t="shared" si="12"/>
        <v>0</v>
      </c>
      <c r="N17" s="274">
        <f t="shared" si="12"/>
        <v>0</v>
      </c>
      <c r="O17" s="275">
        <f t="shared" si="12"/>
        <v>0</v>
      </c>
      <c r="P17" s="274">
        <f t="shared" si="12"/>
        <v>0</v>
      </c>
      <c r="Q17" s="274">
        <f t="shared" si="12"/>
        <v>0</v>
      </c>
      <c r="R17" s="274">
        <f t="shared" si="12"/>
        <v>0</v>
      </c>
      <c r="S17" s="274">
        <f t="shared" si="12"/>
        <v>0</v>
      </c>
      <c r="T17" s="274">
        <f t="shared" si="12"/>
        <v>0</v>
      </c>
      <c r="U17" s="274">
        <f t="shared" si="12"/>
        <v>0</v>
      </c>
      <c r="V17" s="275">
        <f t="shared" si="12"/>
        <v>0</v>
      </c>
      <c r="W17" s="274">
        <f t="shared" si="12"/>
        <v>0</v>
      </c>
      <c r="X17" s="274">
        <f t="shared" si="12"/>
        <v>0</v>
      </c>
      <c r="Y17" s="274">
        <f t="shared" si="12"/>
        <v>0</v>
      </c>
      <c r="Z17" s="274">
        <f t="shared" si="12"/>
        <v>0</v>
      </c>
      <c r="AA17" s="274">
        <f t="shared" si="12"/>
        <v>0</v>
      </c>
      <c r="AB17" s="274">
        <f t="shared" si="12"/>
        <v>0</v>
      </c>
      <c r="AC17" s="275">
        <f t="shared" si="12"/>
        <v>0</v>
      </c>
      <c r="AD17" s="274">
        <f t="shared" si="12"/>
        <v>0</v>
      </c>
      <c r="AE17" s="274">
        <f t="shared" si="12"/>
        <v>0</v>
      </c>
      <c r="AF17" s="274">
        <f t="shared" si="12"/>
        <v>0</v>
      </c>
      <c r="AG17" s="274">
        <f t="shared" si="12"/>
        <v>0</v>
      </c>
      <c r="AH17" s="274">
        <f aca="true" t="shared" si="13" ref="AH17:BM17">PRODUCT(AH15*40+AH14*10+AH13*10+AH12*14+AH11*13+AH10*16)</f>
        <v>0</v>
      </c>
      <c r="AI17" s="274">
        <f t="shared" si="13"/>
        <v>0</v>
      </c>
      <c r="AJ17" s="275">
        <f t="shared" si="13"/>
        <v>0</v>
      </c>
      <c r="AK17" s="274">
        <f t="shared" si="13"/>
        <v>0</v>
      </c>
      <c r="AL17" s="274">
        <f t="shared" si="13"/>
        <v>0</v>
      </c>
      <c r="AM17" s="274">
        <f t="shared" si="13"/>
        <v>0</v>
      </c>
      <c r="AN17" s="274">
        <f t="shared" si="13"/>
        <v>0</v>
      </c>
      <c r="AO17" s="274">
        <f t="shared" si="13"/>
        <v>0</v>
      </c>
      <c r="AP17" s="274">
        <f t="shared" si="13"/>
        <v>0</v>
      </c>
      <c r="AQ17" s="275">
        <f t="shared" si="13"/>
        <v>0</v>
      </c>
      <c r="AR17" s="274">
        <f t="shared" si="13"/>
        <v>0</v>
      </c>
      <c r="AS17" s="274">
        <f t="shared" si="13"/>
        <v>0</v>
      </c>
      <c r="AT17" s="274">
        <f t="shared" si="13"/>
        <v>0</v>
      </c>
      <c r="AU17" s="274">
        <f t="shared" si="13"/>
        <v>0</v>
      </c>
      <c r="AV17" s="274">
        <f t="shared" si="13"/>
        <v>0</v>
      </c>
      <c r="AW17" s="274">
        <f t="shared" si="13"/>
        <v>0</v>
      </c>
      <c r="AX17" s="275">
        <f t="shared" si="13"/>
        <v>0</v>
      </c>
      <c r="AY17" s="274">
        <f t="shared" si="13"/>
        <v>0</v>
      </c>
      <c r="AZ17" s="274">
        <f t="shared" si="13"/>
        <v>0</v>
      </c>
      <c r="BA17" s="274">
        <f t="shared" si="13"/>
        <v>0</v>
      </c>
      <c r="BB17" s="274">
        <f t="shared" si="13"/>
        <v>0</v>
      </c>
      <c r="BC17" s="274">
        <f t="shared" si="13"/>
        <v>0</v>
      </c>
      <c r="BD17" s="274">
        <f t="shared" si="13"/>
        <v>0</v>
      </c>
      <c r="BE17" s="275">
        <f t="shared" si="13"/>
        <v>0</v>
      </c>
      <c r="BF17" s="274">
        <f t="shared" si="13"/>
        <v>0</v>
      </c>
      <c r="BG17" s="274">
        <f t="shared" si="13"/>
        <v>0</v>
      </c>
      <c r="BH17" s="274">
        <f t="shared" si="13"/>
        <v>0</v>
      </c>
      <c r="BI17" s="274">
        <f t="shared" si="13"/>
        <v>0</v>
      </c>
      <c r="BJ17" s="274">
        <f t="shared" si="13"/>
        <v>0</v>
      </c>
      <c r="BK17" s="274">
        <f t="shared" si="13"/>
        <v>0</v>
      </c>
      <c r="BL17" s="275">
        <f t="shared" si="13"/>
        <v>0</v>
      </c>
      <c r="BM17" s="274">
        <f t="shared" si="13"/>
        <v>0</v>
      </c>
      <c r="BN17" s="274">
        <f aca="true" t="shared" si="14" ref="BN17:CS17">PRODUCT(BN15*40+BN14*10+BN13*10+BN12*14+BN11*13+BN10*16)</f>
        <v>0</v>
      </c>
      <c r="BO17" s="274">
        <f t="shared" si="14"/>
        <v>0</v>
      </c>
      <c r="BP17" s="274">
        <f t="shared" si="14"/>
        <v>0</v>
      </c>
      <c r="BQ17" s="274">
        <f t="shared" si="14"/>
        <v>0</v>
      </c>
      <c r="BR17" s="274">
        <f t="shared" si="14"/>
        <v>0</v>
      </c>
      <c r="BS17" s="275">
        <f t="shared" si="14"/>
        <v>0</v>
      </c>
      <c r="BT17" s="274">
        <f t="shared" si="14"/>
        <v>0</v>
      </c>
      <c r="BU17" s="274">
        <f t="shared" si="14"/>
        <v>0</v>
      </c>
      <c r="BV17" s="274">
        <f t="shared" si="14"/>
        <v>0</v>
      </c>
      <c r="BW17" s="274">
        <f t="shared" si="14"/>
        <v>0</v>
      </c>
      <c r="BX17" s="274">
        <f t="shared" si="14"/>
        <v>0</v>
      </c>
      <c r="BY17" s="274">
        <f t="shared" si="14"/>
        <v>0</v>
      </c>
      <c r="BZ17" s="275">
        <f t="shared" si="14"/>
        <v>0</v>
      </c>
      <c r="CA17" s="274">
        <f t="shared" si="14"/>
        <v>0</v>
      </c>
      <c r="CB17" s="274">
        <f t="shared" si="14"/>
        <v>0</v>
      </c>
      <c r="CC17" s="274">
        <f t="shared" si="14"/>
        <v>0</v>
      </c>
      <c r="CD17" s="274">
        <f t="shared" si="14"/>
        <v>0</v>
      </c>
      <c r="CE17" s="274">
        <f t="shared" si="14"/>
        <v>0</v>
      </c>
      <c r="CF17" s="274">
        <f t="shared" si="14"/>
        <v>0</v>
      </c>
      <c r="CG17" s="275">
        <f t="shared" si="14"/>
        <v>0</v>
      </c>
      <c r="CH17" s="274">
        <f t="shared" si="14"/>
        <v>0</v>
      </c>
      <c r="CI17" s="274">
        <f t="shared" si="14"/>
        <v>0</v>
      </c>
      <c r="CJ17" s="274">
        <f t="shared" si="14"/>
        <v>0</v>
      </c>
      <c r="CK17" s="274">
        <f t="shared" si="14"/>
        <v>0</v>
      </c>
      <c r="CL17" s="274">
        <f t="shared" si="14"/>
        <v>0</v>
      </c>
      <c r="CM17" s="274">
        <f t="shared" si="14"/>
        <v>0</v>
      </c>
      <c r="CN17" s="275">
        <f t="shared" si="14"/>
        <v>0</v>
      </c>
      <c r="CO17" s="274">
        <f t="shared" si="14"/>
        <v>0</v>
      </c>
      <c r="CP17" s="274">
        <f t="shared" si="14"/>
        <v>0</v>
      </c>
      <c r="CQ17" s="274">
        <f t="shared" si="14"/>
        <v>0</v>
      </c>
      <c r="CR17" s="274">
        <f t="shared" si="14"/>
        <v>0</v>
      </c>
      <c r="CS17" s="274">
        <f t="shared" si="14"/>
        <v>0</v>
      </c>
      <c r="CT17" s="274">
        <f aca="true" t="shared" si="15" ref="CT17:DY17">PRODUCT(CT15*40+CT14*10+CT13*10+CT12*14+CT11*13+CT10*16)</f>
        <v>0</v>
      </c>
      <c r="CU17" s="275">
        <f t="shared" si="15"/>
        <v>0</v>
      </c>
      <c r="CV17" s="274">
        <f t="shared" si="15"/>
        <v>0</v>
      </c>
      <c r="CW17" s="274">
        <f t="shared" si="15"/>
        <v>0</v>
      </c>
      <c r="CX17" s="274">
        <f t="shared" si="15"/>
        <v>0</v>
      </c>
      <c r="CY17" s="274">
        <f t="shared" si="15"/>
        <v>0</v>
      </c>
      <c r="CZ17" s="274">
        <f t="shared" si="15"/>
        <v>0</v>
      </c>
      <c r="DA17" s="274">
        <f t="shared" si="15"/>
        <v>0</v>
      </c>
      <c r="DB17" s="275">
        <f t="shared" si="15"/>
        <v>0</v>
      </c>
      <c r="DC17" s="274">
        <f t="shared" si="15"/>
        <v>0</v>
      </c>
      <c r="DD17" s="274">
        <f t="shared" si="15"/>
        <v>0</v>
      </c>
      <c r="DE17" s="274">
        <f t="shared" si="15"/>
        <v>0</v>
      </c>
      <c r="DF17" s="274">
        <f t="shared" si="15"/>
        <v>0</v>
      </c>
      <c r="DG17" s="274">
        <f t="shared" si="15"/>
        <v>0</v>
      </c>
      <c r="DH17" s="274">
        <f t="shared" si="15"/>
        <v>0</v>
      </c>
      <c r="DI17" s="275">
        <f t="shared" si="15"/>
        <v>0</v>
      </c>
      <c r="DJ17" s="274">
        <f t="shared" si="15"/>
        <v>0</v>
      </c>
      <c r="DK17" s="274">
        <f t="shared" si="15"/>
        <v>0</v>
      </c>
      <c r="DL17" s="274">
        <f t="shared" si="15"/>
        <v>0</v>
      </c>
      <c r="DM17" s="274">
        <f t="shared" si="15"/>
        <v>0</v>
      </c>
      <c r="DN17" s="274">
        <f t="shared" si="15"/>
        <v>0</v>
      </c>
      <c r="DO17" s="274">
        <f t="shared" si="15"/>
        <v>0</v>
      </c>
      <c r="DP17" s="275">
        <f t="shared" si="15"/>
        <v>0</v>
      </c>
      <c r="DQ17" s="274">
        <f t="shared" si="15"/>
        <v>0</v>
      </c>
      <c r="DR17" s="274">
        <f t="shared" si="15"/>
        <v>0</v>
      </c>
      <c r="DS17" s="274">
        <f t="shared" si="15"/>
        <v>0</v>
      </c>
      <c r="DT17" s="274">
        <f t="shared" si="15"/>
        <v>0</v>
      </c>
      <c r="DU17" s="274">
        <f t="shared" si="15"/>
        <v>0</v>
      </c>
      <c r="DV17" s="274">
        <f t="shared" si="15"/>
        <v>0</v>
      </c>
      <c r="DW17" s="275">
        <f t="shared" si="15"/>
        <v>0</v>
      </c>
      <c r="DX17" s="274">
        <f t="shared" si="15"/>
        <v>0</v>
      </c>
      <c r="DY17" s="274">
        <f t="shared" si="15"/>
        <v>0</v>
      </c>
      <c r="DZ17" s="274">
        <f aca="true" t="shared" si="16" ref="DZ17:FE17">PRODUCT(DZ15*40+DZ14*10+DZ13*10+DZ12*14+DZ11*13+DZ10*16)</f>
        <v>0</v>
      </c>
      <c r="EA17" s="274">
        <f t="shared" si="16"/>
        <v>0</v>
      </c>
      <c r="EB17" s="274">
        <f t="shared" si="16"/>
        <v>0</v>
      </c>
      <c r="EC17" s="274">
        <f t="shared" si="16"/>
        <v>0</v>
      </c>
      <c r="ED17" s="275">
        <f t="shared" si="16"/>
        <v>0</v>
      </c>
      <c r="EE17" s="274">
        <f t="shared" si="16"/>
        <v>0</v>
      </c>
      <c r="EF17" s="274">
        <f t="shared" si="16"/>
        <v>0</v>
      </c>
      <c r="EG17" s="274">
        <f t="shared" si="16"/>
        <v>0</v>
      </c>
      <c r="EH17" s="274">
        <f t="shared" si="16"/>
        <v>0</v>
      </c>
      <c r="EI17" s="274">
        <f t="shared" si="16"/>
        <v>0</v>
      </c>
      <c r="EJ17" s="274">
        <f t="shared" si="16"/>
        <v>0</v>
      </c>
      <c r="EK17" s="275">
        <f t="shared" si="16"/>
        <v>0</v>
      </c>
      <c r="EL17" s="274">
        <f t="shared" si="16"/>
        <v>0</v>
      </c>
      <c r="EM17" s="274">
        <f t="shared" si="16"/>
        <v>0</v>
      </c>
      <c r="EN17" s="274">
        <f t="shared" si="16"/>
        <v>0</v>
      </c>
      <c r="EO17" s="274">
        <f t="shared" si="16"/>
        <v>0</v>
      </c>
      <c r="EP17" s="274">
        <f t="shared" si="16"/>
        <v>0</v>
      </c>
      <c r="EQ17" s="274">
        <f t="shared" si="16"/>
        <v>0</v>
      </c>
      <c r="ER17" s="275">
        <f t="shared" si="16"/>
        <v>0</v>
      </c>
      <c r="ES17" s="274">
        <f t="shared" si="16"/>
        <v>0</v>
      </c>
      <c r="ET17" s="274">
        <f t="shared" si="16"/>
        <v>0</v>
      </c>
      <c r="EU17" s="274">
        <f t="shared" si="16"/>
        <v>0</v>
      </c>
      <c r="EV17" s="274">
        <f t="shared" si="16"/>
        <v>0</v>
      </c>
      <c r="EW17" s="274">
        <f t="shared" si="16"/>
        <v>0</v>
      </c>
      <c r="EX17" s="274">
        <f t="shared" si="16"/>
        <v>0</v>
      </c>
      <c r="EY17" s="275">
        <f t="shared" si="16"/>
        <v>0</v>
      </c>
      <c r="EZ17" s="274">
        <f t="shared" si="16"/>
        <v>0</v>
      </c>
      <c r="FA17" s="274">
        <f t="shared" si="16"/>
        <v>0</v>
      </c>
      <c r="FB17" s="274">
        <f t="shared" si="16"/>
        <v>0</v>
      </c>
      <c r="FC17" s="274">
        <f t="shared" si="16"/>
        <v>0</v>
      </c>
      <c r="FD17" s="274">
        <f t="shared" si="16"/>
        <v>0</v>
      </c>
      <c r="FE17" s="274">
        <f t="shared" si="16"/>
        <v>0</v>
      </c>
      <c r="FF17" s="275">
        <f aca="true" t="shared" si="17" ref="FF17:GH17">PRODUCT(FF15*40+FF14*10+FF13*10+FF12*14+FF11*13+FF10*16)</f>
        <v>0</v>
      </c>
      <c r="FG17" s="274">
        <f t="shared" si="17"/>
        <v>0</v>
      </c>
      <c r="FH17" s="274">
        <f t="shared" si="17"/>
        <v>0</v>
      </c>
      <c r="FI17" s="274">
        <f t="shared" si="17"/>
        <v>0</v>
      </c>
      <c r="FJ17" s="274">
        <f t="shared" si="17"/>
        <v>0</v>
      </c>
      <c r="FK17" s="274">
        <f t="shared" si="17"/>
        <v>0</v>
      </c>
      <c r="FL17" s="274">
        <f t="shared" si="17"/>
        <v>0</v>
      </c>
      <c r="FM17" s="275">
        <f t="shared" si="17"/>
        <v>0</v>
      </c>
      <c r="FN17" s="274">
        <f t="shared" si="17"/>
        <v>0</v>
      </c>
      <c r="FO17" s="274">
        <f t="shared" si="17"/>
        <v>0</v>
      </c>
      <c r="FP17" s="274">
        <f t="shared" si="17"/>
        <v>0</v>
      </c>
      <c r="FQ17" s="274">
        <f t="shared" si="17"/>
        <v>0</v>
      </c>
      <c r="FR17" s="274">
        <f t="shared" si="17"/>
        <v>0</v>
      </c>
      <c r="FS17" s="274">
        <f t="shared" si="17"/>
        <v>0</v>
      </c>
      <c r="FT17" s="275">
        <f t="shared" si="17"/>
        <v>0</v>
      </c>
      <c r="FU17" s="274">
        <f t="shared" si="17"/>
        <v>0</v>
      </c>
      <c r="FV17" s="274">
        <f t="shared" si="17"/>
        <v>0</v>
      </c>
      <c r="FW17" s="274">
        <f t="shared" si="17"/>
        <v>0</v>
      </c>
      <c r="FX17" s="274">
        <f t="shared" si="17"/>
        <v>0</v>
      </c>
      <c r="FY17" s="274">
        <f t="shared" si="17"/>
        <v>0</v>
      </c>
      <c r="FZ17" s="274">
        <f t="shared" si="17"/>
        <v>0</v>
      </c>
      <c r="GA17" s="275">
        <f t="shared" si="17"/>
        <v>0</v>
      </c>
      <c r="GB17" s="274">
        <f t="shared" si="17"/>
        <v>0</v>
      </c>
      <c r="GC17" s="274">
        <f t="shared" si="17"/>
        <v>0</v>
      </c>
      <c r="GD17" s="274">
        <f t="shared" si="17"/>
        <v>0</v>
      </c>
      <c r="GE17" s="274">
        <f t="shared" si="17"/>
        <v>0</v>
      </c>
      <c r="GF17" s="274">
        <f t="shared" si="17"/>
        <v>0</v>
      </c>
      <c r="GG17" s="274">
        <f t="shared" si="17"/>
        <v>0</v>
      </c>
      <c r="GH17" s="275">
        <f t="shared" si="17"/>
        <v>0</v>
      </c>
    </row>
    <row r="18" spans="1:190" ht="12.75">
      <c r="A18" s="276" t="s">
        <v>265</v>
      </c>
      <c r="B18" s="267">
        <f aca="true" t="shared" si="18" ref="B18:AG18">SUM(B19:B24)</f>
        <v>0</v>
      </c>
      <c r="C18" s="267">
        <f t="shared" si="18"/>
        <v>0</v>
      </c>
      <c r="D18" s="267">
        <f t="shared" si="18"/>
        <v>0</v>
      </c>
      <c r="E18" s="267">
        <f t="shared" si="18"/>
        <v>0</v>
      </c>
      <c r="F18" s="267">
        <f t="shared" si="18"/>
        <v>0</v>
      </c>
      <c r="G18" s="267">
        <f t="shared" si="18"/>
        <v>48.3</v>
      </c>
      <c r="H18" s="268">
        <f t="shared" si="18"/>
        <v>0</v>
      </c>
      <c r="I18" s="267">
        <f t="shared" si="18"/>
        <v>0</v>
      </c>
      <c r="J18" s="267">
        <f t="shared" si="18"/>
        <v>0</v>
      </c>
      <c r="K18" s="267">
        <f t="shared" si="18"/>
        <v>0</v>
      </c>
      <c r="L18" s="267">
        <f t="shared" si="18"/>
        <v>0</v>
      </c>
      <c r="M18" s="267">
        <f t="shared" si="18"/>
        <v>0</v>
      </c>
      <c r="N18" s="267">
        <f t="shared" si="18"/>
        <v>0</v>
      </c>
      <c r="O18" s="268">
        <f t="shared" si="18"/>
        <v>0</v>
      </c>
      <c r="P18" s="267">
        <f t="shared" si="18"/>
        <v>0</v>
      </c>
      <c r="Q18" s="267">
        <f t="shared" si="18"/>
        <v>0</v>
      </c>
      <c r="R18" s="267">
        <f t="shared" si="18"/>
        <v>0</v>
      </c>
      <c r="S18" s="267">
        <f t="shared" si="18"/>
        <v>0</v>
      </c>
      <c r="T18" s="267">
        <f t="shared" si="18"/>
        <v>0</v>
      </c>
      <c r="U18" s="267">
        <f t="shared" si="18"/>
        <v>0</v>
      </c>
      <c r="V18" s="268">
        <f t="shared" si="18"/>
        <v>0</v>
      </c>
      <c r="W18" s="267">
        <f t="shared" si="18"/>
        <v>0</v>
      </c>
      <c r="X18" s="267">
        <f t="shared" si="18"/>
        <v>0</v>
      </c>
      <c r="Y18" s="267">
        <f t="shared" si="18"/>
        <v>0</v>
      </c>
      <c r="Z18" s="267">
        <f t="shared" si="18"/>
        <v>0</v>
      </c>
      <c r="AA18" s="267">
        <f t="shared" si="18"/>
        <v>0</v>
      </c>
      <c r="AB18" s="267">
        <f t="shared" si="18"/>
        <v>0</v>
      </c>
      <c r="AC18" s="268">
        <f t="shared" si="18"/>
        <v>0</v>
      </c>
      <c r="AD18" s="267">
        <f t="shared" si="18"/>
        <v>0</v>
      </c>
      <c r="AE18" s="267">
        <f t="shared" si="18"/>
        <v>0</v>
      </c>
      <c r="AF18" s="267">
        <f t="shared" si="18"/>
        <v>0</v>
      </c>
      <c r="AG18" s="267">
        <f t="shared" si="18"/>
        <v>0</v>
      </c>
      <c r="AH18" s="267">
        <f aca="true" t="shared" si="19" ref="AH18:BM18">SUM(AH19:AH24)</f>
        <v>0</v>
      </c>
      <c r="AI18" s="267">
        <f t="shared" si="19"/>
        <v>0</v>
      </c>
      <c r="AJ18" s="268">
        <f t="shared" si="19"/>
        <v>0</v>
      </c>
      <c r="AK18" s="267">
        <f t="shared" si="19"/>
        <v>0</v>
      </c>
      <c r="AL18" s="267">
        <f t="shared" si="19"/>
        <v>0</v>
      </c>
      <c r="AM18" s="267">
        <f t="shared" si="19"/>
        <v>0</v>
      </c>
      <c r="AN18" s="267">
        <f t="shared" si="19"/>
        <v>0</v>
      </c>
      <c r="AO18" s="267">
        <f t="shared" si="19"/>
        <v>0</v>
      </c>
      <c r="AP18" s="267">
        <f t="shared" si="19"/>
        <v>0</v>
      </c>
      <c r="AQ18" s="268">
        <f t="shared" si="19"/>
        <v>0</v>
      </c>
      <c r="AR18" s="267">
        <f t="shared" si="19"/>
        <v>0</v>
      </c>
      <c r="AS18" s="267">
        <f t="shared" si="19"/>
        <v>0</v>
      </c>
      <c r="AT18" s="267">
        <f t="shared" si="19"/>
        <v>0</v>
      </c>
      <c r="AU18" s="267">
        <f t="shared" si="19"/>
        <v>0</v>
      </c>
      <c r="AV18" s="267">
        <f t="shared" si="19"/>
        <v>0</v>
      </c>
      <c r="AW18" s="267">
        <f t="shared" si="19"/>
        <v>0</v>
      </c>
      <c r="AX18" s="268">
        <f t="shared" si="19"/>
        <v>0</v>
      </c>
      <c r="AY18" s="267">
        <f t="shared" si="19"/>
        <v>0</v>
      </c>
      <c r="AZ18" s="267">
        <f t="shared" si="19"/>
        <v>0</v>
      </c>
      <c r="BA18" s="267">
        <f t="shared" si="19"/>
        <v>0</v>
      </c>
      <c r="BB18" s="267">
        <f t="shared" si="19"/>
        <v>0</v>
      </c>
      <c r="BC18" s="267">
        <f t="shared" si="19"/>
        <v>0</v>
      </c>
      <c r="BD18" s="267">
        <f t="shared" si="19"/>
        <v>0</v>
      </c>
      <c r="BE18" s="268">
        <f t="shared" si="19"/>
        <v>0</v>
      </c>
      <c r="BF18" s="267">
        <f t="shared" si="19"/>
        <v>0</v>
      </c>
      <c r="BG18" s="267">
        <f t="shared" si="19"/>
        <v>0</v>
      </c>
      <c r="BH18" s="267">
        <f t="shared" si="19"/>
        <v>0</v>
      </c>
      <c r="BI18" s="267">
        <f t="shared" si="19"/>
        <v>0</v>
      </c>
      <c r="BJ18" s="267">
        <f t="shared" si="19"/>
        <v>0</v>
      </c>
      <c r="BK18" s="267">
        <f t="shared" si="19"/>
        <v>0</v>
      </c>
      <c r="BL18" s="268">
        <f t="shared" si="19"/>
        <v>0</v>
      </c>
      <c r="BM18" s="267">
        <f t="shared" si="19"/>
        <v>0</v>
      </c>
      <c r="BN18" s="267">
        <f aca="true" t="shared" si="20" ref="BN18:CS18">SUM(BN19:BN24)</f>
        <v>0</v>
      </c>
      <c r="BO18" s="267">
        <f t="shared" si="20"/>
        <v>0</v>
      </c>
      <c r="BP18" s="267">
        <f t="shared" si="20"/>
        <v>0</v>
      </c>
      <c r="BQ18" s="267">
        <f t="shared" si="20"/>
        <v>0</v>
      </c>
      <c r="BR18" s="267">
        <f t="shared" si="20"/>
        <v>0</v>
      </c>
      <c r="BS18" s="268">
        <f t="shared" si="20"/>
        <v>0</v>
      </c>
      <c r="BT18" s="267">
        <f t="shared" si="20"/>
        <v>0</v>
      </c>
      <c r="BU18" s="267">
        <f t="shared" si="20"/>
        <v>0</v>
      </c>
      <c r="BV18" s="267">
        <f t="shared" si="20"/>
        <v>0</v>
      </c>
      <c r="BW18" s="267">
        <f t="shared" si="20"/>
        <v>0</v>
      </c>
      <c r="BX18" s="267">
        <f t="shared" si="20"/>
        <v>0</v>
      </c>
      <c r="BY18" s="267">
        <f t="shared" si="20"/>
        <v>0</v>
      </c>
      <c r="BZ18" s="268">
        <f t="shared" si="20"/>
        <v>0</v>
      </c>
      <c r="CA18" s="267">
        <f t="shared" si="20"/>
        <v>0</v>
      </c>
      <c r="CB18" s="267">
        <f t="shared" si="20"/>
        <v>0</v>
      </c>
      <c r="CC18" s="267">
        <f t="shared" si="20"/>
        <v>0</v>
      </c>
      <c r="CD18" s="267">
        <f t="shared" si="20"/>
        <v>0</v>
      </c>
      <c r="CE18" s="267">
        <f t="shared" si="20"/>
        <v>0</v>
      </c>
      <c r="CF18" s="267">
        <f t="shared" si="20"/>
        <v>0</v>
      </c>
      <c r="CG18" s="268">
        <f t="shared" si="20"/>
        <v>0</v>
      </c>
      <c r="CH18" s="267">
        <f t="shared" si="20"/>
        <v>0</v>
      </c>
      <c r="CI18" s="267">
        <f t="shared" si="20"/>
        <v>0</v>
      </c>
      <c r="CJ18" s="267">
        <f t="shared" si="20"/>
        <v>0</v>
      </c>
      <c r="CK18" s="267">
        <f t="shared" si="20"/>
        <v>0</v>
      </c>
      <c r="CL18" s="267">
        <f t="shared" si="20"/>
        <v>0</v>
      </c>
      <c r="CM18" s="267">
        <f t="shared" si="20"/>
        <v>0</v>
      </c>
      <c r="CN18" s="268">
        <f t="shared" si="20"/>
        <v>0</v>
      </c>
      <c r="CO18" s="267">
        <f t="shared" si="20"/>
        <v>0</v>
      </c>
      <c r="CP18" s="267">
        <f t="shared" si="20"/>
        <v>0</v>
      </c>
      <c r="CQ18" s="267">
        <f t="shared" si="20"/>
        <v>0</v>
      </c>
      <c r="CR18" s="267">
        <f t="shared" si="20"/>
        <v>0</v>
      </c>
      <c r="CS18" s="267">
        <f t="shared" si="20"/>
        <v>0</v>
      </c>
      <c r="CT18" s="267">
        <f aca="true" t="shared" si="21" ref="CT18:DY18">SUM(CT19:CT24)</f>
        <v>0</v>
      </c>
      <c r="CU18" s="268">
        <f t="shared" si="21"/>
        <v>0</v>
      </c>
      <c r="CV18" s="267">
        <f t="shared" si="21"/>
        <v>0</v>
      </c>
      <c r="CW18" s="267">
        <f t="shared" si="21"/>
        <v>0</v>
      </c>
      <c r="CX18" s="267">
        <f t="shared" si="21"/>
        <v>0</v>
      </c>
      <c r="CY18" s="267">
        <f t="shared" si="21"/>
        <v>0</v>
      </c>
      <c r="CZ18" s="267">
        <f t="shared" si="21"/>
        <v>0</v>
      </c>
      <c r="DA18" s="267">
        <f t="shared" si="21"/>
        <v>0</v>
      </c>
      <c r="DB18" s="268">
        <f t="shared" si="21"/>
        <v>0</v>
      </c>
      <c r="DC18" s="267">
        <f t="shared" si="21"/>
        <v>0</v>
      </c>
      <c r="DD18" s="267">
        <f t="shared" si="21"/>
        <v>0</v>
      </c>
      <c r="DE18" s="267">
        <f t="shared" si="21"/>
        <v>0</v>
      </c>
      <c r="DF18" s="267">
        <f t="shared" si="21"/>
        <v>0</v>
      </c>
      <c r="DG18" s="267">
        <f t="shared" si="21"/>
        <v>0</v>
      </c>
      <c r="DH18" s="267">
        <f t="shared" si="21"/>
        <v>0</v>
      </c>
      <c r="DI18" s="268">
        <f t="shared" si="21"/>
        <v>0</v>
      </c>
      <c r="DJ18" s="267">
        <f t="shared" si="21"/>
        <v>0</v>
      </c>
      <c r="DK18" s="267">
        <f t="shared" si="21"/>
        <v>0</v>
      </c>
      <c r="DL18" s="267">
        <f t="shared" si="21"/>
        <v>0</v>
      </c>
      <c r="DM18" s="267">
        <f t="shared" si="21"/>
        <v>0</v>
      </c>
      <c r="DN18" s="267">
        <f t="shared" si="21"/>
        <v>0</v>
      </c>
      <c r="DO18" s="267">
        <f t="shared" si="21"/>
        <v>0</v>
      </c>
      <c r="DP18" s="268">
        <f t="shared" si="21"/>
        <v>0</v>
      </c>
      <c r="DQ18" s="267">
        <f t="shared" si="21"/>
        <v>0</v>
      </c>
      <c r="DR18" s="267">
        <f t="shared" si="21"/>
        <v>0</v>
      </c>
      <c r="DS18" s="267">
        <f t="shared" si="21"/>
        <v>0</v>
      </c>
      <c r="DT18" s="267">
        <f t="shared" si="21"/>
        <v>0</v>
      </c>
      <c r="DU18" s="267">
        <f t="shared" si="21"/>
        <v>0</v>
      </c>
      <c r="DV18" s="267">
        <f t="shared" si="21"/>
        <v>0</v>
      </c>
      <c r="DW18" s="268">
        <f t="shared" si="21"/>
        <v>0</v>
      </c>
      <c r="DX18" s="267">
        <f t="shared" si="21"/>
        <v>0</v>
      </c>
      <c r="DY18" s="267">
        <f t="shared" si="21"/>
        <v>0</v>
      </c>
      <c r="DZ18" s="267">
        <f aca="true" t="shared" si="22" ref="DZ18:FE18">SUM(DZ19:DZ24)</f>
        <v>0</v>
      </c>
      <c r="EA18" s="267">
        <f t="shared" si="22"/>
        <v>0</v>
      </c>
      <c r="EB18" s="267">
        <f t="shared" si="22"/>
        <v>0</v>
      </c>
      <c r="EC18" s="267">
        <f t="shared" si="22"/>
        <v>0</v>
      </c>
      <c r="ED18" s="268">
        <f t="shared" si="22"/>
        <v>0</v>
      </c>
      <c r="EE18" s="267">
        <f t="shared" si="22"/>
        <v>0</v>
      </c>
      <c r="EF18" s="267">
        <f t="shared" si="22"/>
        <v>0</v>
      </c>
      <c r="EG18" s="267">
        <f t="shared" si="22"/>
        <v>0</v>
      </c>
      <c r="EH18" s="267">
        <f t="shared" si="22"/>
        <v>0</v>
      </c>
      <c r="EI18" s="267">
        <f t="shared" si="22"/>
        <v>0</v>
      </c>
      <c r="EJ18" s="267">
        <f t="shared" si="22"/>
        <v>0</v>
      </c>
      <c r="EK18" s="268">
        <f t="shared" si="22"/>
        <v>0</v>
      </c>
      <c r="EL18" s="267">
        <f t="shared" si="22"/>
        <v>0</v>
      </c>
      <c r="EM18" s="267">
        <f t="shared" si="22"/>
        <v>0</v>
      </c>
      <c r="EN18" s="267">
        <f t="shared" si="22"/>
        <v>0</v>
      </c>
      <c r="EO18" s="267">
        <f t="shared" si="22"/>
        <v>0</v>
      </c>
      <c r="EP18" s="267">
        <f t="shared" si="22"/>
        <v>0</v>
      </c>
      <c r="EQ18" s="267">
        <f t="shared" si="22"/>
        <v>0</v>
      </c>
      <c r="ER18" s="268">
        <f t="shared" si="22"/>
        <v>0</v>
      </c>
      <c r="ES18" s="267">
        <f t="shared" si="22"/>
        <v>0</v>
      </c>
      <c r="ET18" s="267">
        <f t="shared" si="22"/>
        <v>0</v>
      </c>
      <c r="EU18" s="267">
        <f t="shared" si="22"/>
        <v>0</v>
      </c>
      <c r="EV18" s="267">
        <f t="shared" si="22"/>
        <v>0</v>
      </c>
      <c r="EW18" s="267">
        <f t="shared" si="22"/>
        <v>0</v>
      </c>
      <c r="EX18" s="267">
        <f t="shared" si="22"/>
        <v>0</v>
      </c>
      <c r="EY18" s="268">
        <f t="shared" si="22"/>
        <v>0</v>
      </c>
      <c r="EZ18" s="267">
        <f t="shared" si="22"/>
        <v>0</v>
      </c>
      <c r="FA18" s="267">
        <f t="shared" si="22"/>
        <v>0</v>
      </c>
      <c r="FB18" s="267">
        <f t="shared" si="22"/>
        <v>0</v>
      </c>
      <c r="FC18" s="267">
        <f t="shared" si="22"/>
        <v>0</v>
      </c>
      <c r="FD18" s="267">
        <f t="shared" si="22"/>
        <v>0</v>
      </c>
      <c r="FE18" s="267">
        <f t="shared" si="22"/>
        <v>0</v>
      </c>
      <c r="FF18" s="268">
        <f aca="true" t="shared" si="23" ref="FF18:GH18">SUM(FF19:FF24)</f>
        <v>0</v>
      </c>
      <c r="FG18" s="267">
        <f t="shared" si="23"/>
        <v>0</v>
      </c>
      <c r="FH18" s="267">
        <f t="shared" si="23"/>
        <v>0</v>
      </c>
      <c r="FI18" s="267">
        <f t="shared" si="23"/>
        <v>0</v>
      </c>
      <c r="FJ18" s="267">
        <f t="shared" si="23"/>
        <v>0</v>
      </c>
      <c r="FK18" s="267">
        <f t="shared" si="23"/>
        <v>0</v>
      </c>
      <c r="FL18" s="267">
        <f t="shared" si="23"/>
        <v>0</v>
      </c>
      <c r="FM18" s="268">
        <f t="shared" si="23"/>
        <v>0</v>
      </c>
      <c r="FN18" s="267">
        <f t="shared" si="23"/>
        <v>0</v>
      </c>
      <c r="FO18" s="267">
        <f t="shared" si="23"/>
        <v>0</v>
      </c>
      <c r="FP18" s="267">
        <f t="shared" si="23"/>
        <v>0</v>
      </c>
      <c r="FQ18" s="267">
        <f t="shared" si="23"/>
        <v>0</v>
      </c>
      <c r="FR18" s="267">
        <f t="shared" si="23"/>
        <v>0</v>
      </c>
      <c r="FS18" s="267">
        <f t="shared" si="23"/>
        <v>0</v>
      </c>
      <c r="FT18" s="268">
        <f t="shared" si="23"/>
        <v>0</v>
      </c>
      <c r="FU18" s="267">
        <f t="shared" si="23"/>
        <v>0</v>
      </c>
      <c r="FV18" s="267">
        <f t="shared" si="23"/>
        <v>0</v>
      </c>
      <c r="FW18" s="267">
        <f t="shared" si="23"/>
        <v>0</v>
      </c>
      <c r="FX18" s="267">
        <f t="shared" si="23"/>
        <v>0</v>
      </c>
      <c r="FY18" s="267">
        <f t="shared" si="23"/>
        <v>0</v>
      </c>
      <c r="FZ18" s="267">
        <f t="shared" si="23"/>
        <v>0</v>
      </c>
      <c r="GA18" s="268">
        <f t="shared" si="23"/>
        <v>0</v>
      </c>
      <c r="GB18" s="267">
        <f t="shared" si="23"/>
        <v>0</v>
      </c>
      <c r="GC18" s="267">
        <f t="shared" si="23"/>
        <v>0</v>
      </c>
      <c r="GD18" s="267">
        <f t="shared" si="23"/>
        <v>0</v>
      </c>
      <c r="GE18" s="267">
        <f t="shared" si="23"/>
        <v>0</v>
      </c>
      <c r="GF18" s="267">
        <f t="shared" si="23"/>
        <v>0</v>
      </c>
      <c r="GG18" s="267">
        <f t="shared" si="23"/>
        <v>0</v>
      </c>
      <c r="GH18" s="268">
        <f t="shared" si="23"/>
        <v>0</v>
      </c>
    </row>
    <row r="19" spans="1:190" ht="12.75">
      <c r="A19" s="269" t="s">
        <v>0</v>
      </c>
      <c r="B19" s="270"/>
      <c r="C19" s="270"/>
      <c r="D19" s="270"/>
      <c r="E19" s="270"/>
      <c r="F19" s="270"/>
      <c r="G19" s="270">
        <v>45</v>
      </c>
      <c r="H19" s="271"/>
      <c r="I19" s="270"/>
      <c r="J19" s="270"/>
      <c r="K19" s="270"/>
      <c r="L19" s="270"/>
      <c r="M19" s="270"/>
      <c r="N19" s="270"/>
      <c r="O19" s="271"/>
      <c r="P19" s="270"/>
      <c r="Q19" s="270"/>
      <c r="R19" s="270"/>
      <c r="S19" s="270"/>
      <c r="T19" s="270"/>
      <c r="U19" s="270"/>
      <c r="V19" s="271"/>
      <c r="W19" s="270"/>
      <c r="X19" s="270"/>
      <c r="Y19" s="270"/>
      <c r="Z19" s="270"/>
      <c r="AA19" s="270"/>
      <c r="AB19" s="270"/>
      <c r="AC19" s="271"/>
      <c r="AD19" s="270"/>
      <c r="AE19" s="270"/>
      <c r="AF19" s="270"/>
      <c r="AG19" s="270"/>
      <c r="AH19" s="270"/>
      <c r="AI19" s="270"/>
      <c r="AJ19" s="271"/>
      <c r="AK19" s="270"/>
      <c r="AL19" s="270"/>
      <c r="AM19" s="270"/>
      <c r="AN19" s="270"/>
      <c r="AO19" s="270"/>
      <c r="AP19" s="270"/>
      <c r="AQ19" s="271"/>
      <c r="AR19" s="270"/>
      <c r="AS19" s="270"/>
      <c r="AT19" s="270"/>
      <c r="AU19" s="270"/>
      <c r="AV19" s="270"/>
      <c r="AW19" s="270"/>
      <c r="AX19" s="271"/>
      <c r="AY19" s="270"/>
      <c r="AZ19" s="270"/>
      <c r="BA19" s="270"/>
      <c r="BB19" s="270"/>
      <c r="BC19" s="270"/>
      <c r="BD19" s="270"/>
      <c r="BE19" s="271"/>
      <c r="BF19" s="270"/>
      <c r="BG19" s="270"/>
      <c r="BH19" s="270"/>
      <c r="BI19" s="270"/>
      <c r="BJ19" s="270"/>
      <c r="BK19" s="270"/>
      <c r="BL19" s="271"/>
      <c r="BM19" s="270"/>
      <c r="BN19" s="270"/>
      <c r="BO19" s="270"/>
      <c r="BP19" s="270"/>
      <c r="BQ19" s="270"/>
      <c r="BR19" s="270"/>
      <c r="BS19" s="271"/>
      <c r="BT19" s="270"/>
      <c r="BU19" s="270"/>
      <c r="BV19" s="270"/>
      <c r="BW19" s="270"/>
      <c r="BX19" s="270"/>
      <c r="BY19" s="270"/>
      <c r="BZ19" s="271"/>
      <c r="CA19" s="270"/>
      <c r="CB19" s="270"/>
      <c r="CC19" s="270"/>
      <c r="CD19" s="270"/>
      <c r="CE19" s="270"/>
      <c r="CF19" s="270"/>
      <c r="CG19" s="271"/>
      <c r="CH19" s="270"/>
      <c r="CI19" s="270"/>
      <c r="CJ19" s="270"/>
      <c r="CK19" s="270"/>
      <c r="CL19" s="270"/>
      <c r="CM19" s="270"/>
      <c r="CN19" s="271"/>
      <c r="CO19" s="270"/>
      <c r="CP19" s="270"/>
      <c r="CQ19" s="270"/>
      <c r="CR19" s="270"/>
      <c r="CS19" s="270"/>
      <c r="CT19" s="270"/>
      <c r="CU19" s="271"/>
      <c r="CV19" s="270"/>
      <c r="CW19" s="270"/>
      <c r="CX19" s="270"/>
      <c r="CY19" s="270"/>
      <c r="CZ19" s="270"/>
      <c r="DA19" s="270"/>
      <c r="DB19" s="271"/>
      <c r="DC19" s="270"/>
      <c r="DD19" s="270"/>
      <c r="DE19" s="270"/>
      <c r="DF19" s="270"/>
      <c r="DG19" s="270"/>
      <c r="DH19" s="270"/>
      <c r="DI19" s="271"/>
      <c r="DJ19" s="270"/>
      <c r="DK19" s="270"/>
      <c r="DL19" s="270"/>
      <c r="DM19" s="270"/>
      <c r="DN19" s="270"/>
      <c r="DO19" s="270"/>
      <c r="DP19" s="271"/>
      <c r="DQ19" s="270"/>
      <c r="DR19" s="270"/>
      <c r="DS19" s="270"/>
      <c r="DT19" s="270"/>
      <c r="DU19" s="270"/>
      <c r="DV19" s="270"/>
      <c r="DW19" s="271"/>
      <c r="DX19" s="270"/>
      <c r="DY19" s="270"/>
      <c r="DZ19" s="270"/>
      <c r="EA19" s="270"/>
      <c r="EB19" s="270"/>
      <c r="EC19" s="270"/>
      <c r="ED19" s="271"/>
      <c r="EE19" s="270"/>
      <c r="EF19" s="270"/>
      <c r="EG19" s="270"/>
      <c r="EH19" s="270"/>
      <c r="EI19" s="270"/>
      <c r="EJ19" s="270"/>
      <c r="EK19" s="271"/>
      <c r="EL19" s="270"/>
      <c r="EM19" s="270"/>
      <c r="EN19" s="270"/>
      <c r="EO19" s="270"/>
      <c r="EP19" s="270"/>
      <c r="EQ19" s="270"/>
      <c r="ER19" s="271"/>
      <c r="ES19" s="270"/>
      <c r="ET19" s="270"/>
      <c r="EU19" s="270"/>
      <c r="EV19" s="270"/>
      <c r="EW19" s="270"/>
      <c r="EX19" s="270"/>
      <c r="EY19" s="271"/>
      <c r="EZ19" s="270"/>
      <c r="FA19" s="270"/>
      <c r="FB19" s="270"/>
      <c r="FC19" s="270"/>
      <c r="FD19" s="270"/>
      <c r="FE19" s="270"/>
      <c r="FF19" s="271"/>
      <c r="FG19" s="270"/>
      <c r="FH19" s="270"/>
      <c r="FI19" s="270"/>
      <c r="FJ19" s="270"/>
      <c r="FK19" s="270"/>
      <c r="FL19" s="270"/>
      <c r="FM19" s="271"/>
      <c r="FN19" s="270"/>
      <c r="FO19" s="270"/>
      <c r="FP19" s="270"/>
      <c r="FQ19" s="270"/>
      <c r="FR19" s="270"/>
      <c r="FS19" s="270"/>
      <c r="FT19" s="271"/>
      <c r="FU19" s="270"/>
      <c r="FV19" s="270"/>
      <c r="FW19" s="270"/>
      <c r="FX19" s="270"/>
      <c r="FY19" s="270"/>
      <c r="FZ19" s="270"/>
      <c r="GA19" s="271"/>
      <c r="GB19" s="270"/>
      <c r="GC19" s="270"/>
      <c r="GD19" s="270"/>
      <c r="GE19" s="270"/>
      <c r="GF19" s="270"/>
      <c r="GG19" s="270"/>
      <c r="GH19" s="271"/>
    </row>
    <row r="20" spans="1:190" ht="12.75">
      <c r="A20" s="269" t="s">
        <v>1</v>
      </c>
      <c r="B20" s="270"/>
      <c r="C20" s="270"/>
      <c r="D20" s="270"/>
      <c r="E20" s="270"/>
      <c r="F20" s="270"/>
      <c r="G20" s="270">
        <v>3.3</v>
      </c>
      <c r="H20" s="271"/>
      <c r="I20" s="270"/>
      <c r="J20" s="270"/>
      <c r="K20" s="270"/>
      <c r="L20" s="270"/>
      <c r="M20" s="270"/>
      <c r="N20" s="270"/>
      <c r="O20" s="271"/>
      <c r="P20" s="270"/>
      <c r="Q20" s="270"/>
      <c r="R20" s="270"/>
      <c r="S20" s="270"/>
      <c r="T20" s="270"/>
      <c r="U20" s="270"/>
      <c r="V20" s="271"/>
      <c r="W20" s="270"/>
      <c r="X20" s="270"/>
      <c r="Y20" s="270"/>
      <c r="Z20" s="270"/>
      <c r="AA20" s="270"/>
      <c r="AB20" s="270"/>
      <c r="AC20" s="271"/>
      <c r="AD20" s="270"/>
      <c r="AE20" s="270"/>
      <c r="AF20" s="270"/>
      <c r="AG20" s="270"/>
      <c r="AH20" s="270"/>
      <c r="AI20" s="270"/>
      <c r="AJ20" s="271"/>
      <c r="AK20" s="270"/>
      <c r="AL20" s="270"/>
      <c r="AM20" s="270"/>
      <c r="AN20" s="270"/>
      <c r="AO20" s="270"/>
      <c r="AP20" s="270"/>
      <c r="AQ20" s="271"/>
      <c r="AR20" s="270"/>
      <c r="AS20" s="270"/>
      <c r="AT20" s="270"/>
      <c r="AU20" s="270"/>
      <c r="AV20" s="270"/>
      <c r="AW20" s="270"/>
      <c r="AX20" s="271"/>
      <c r="AY20" s="270"/>
      <c r="AZ20" s="270"/>
      <c r="BA20" s="270"/>
      <c r="BB20" s="270"/>
      <c r="BC20" s="270"/>
      <c r="BD20" s="270"/>
      <c r="BE20" s="271"/>
      <c r="BF20" s="270"/>
      <c r="BG20" s="270"/>
      <c r="BH20" s="270"/>
      <c r="BI20" s="270"/>
      <c r="BJ20" s="270"/>
      <c r="BK20" s="270"/>
      <c r="BL20" s="271"/>
      <c r="BM20" s="270"/>
      <c r="BN20" s="270"/>
      <c r="BO20" s="270"/>
      <c r="BP20" s="270"/>
      <c r="BQ20" s="270"/>
      <c r="BR20" s="270"/>
      <c r="BS20" s="271"/>
      <c r="BT20" s="270"/>
      <c r="BU20" s="270"/>
      <c r="BV20" s="270"/>
      <c r="BW20" s="270"/>
      <c r="BX20" s="270"/>
      <c r="BY20" s="270"/>
      <c r="BZ20" s="271"/>
      <c r="CA20" s="270"/>
      <c r="CB20" s="270"/>
      <c r="CC20" s="270"/>
      <c r="CD20" s="270"/>
      <c r="CE20" s="270"/>
      <c r="CF20" s="270"/>
      <c r="CG20" s="271"/>
      <c r="CH20" s="270"/>
      <c r="CI20" s="270"/>
      <c r="CJ20" s="270"/>
      <c r="CK20" s="270"/>
      <c r="CL20" s="270"/>
      <c r="CM20" s="270"/>
      <c r="CN20" s="271"/>
      <c r="CO20" s="270"/>
      <c r="CP20" s="270"/>
      <c r="CQ20" s="270"/>
      <c r="CR20" s="270"/>
      <c r="CS20" s="270"/>
      <c r="CT20" s="270"/>
      <c r="CU20" s="271"/>
      <c r="CV20" s="270"/>
      <c r="CW20" s="270"/>
      <c r="CX20" s="270"/>
      <c r="CY20" s="270"/>
      <c r="CZ20" s="270"/>
      <c r="DA20" s="270"/>
      <c r="DB20" s="271"/>
      <c r="DC20" s="270"/>
      <c r="DD20" s="270"/>
      <c r="DE20" s="270"/>
      <c r="DF20" s="270"/>
      <c r="DG20" s="270"/>
      <c r="DH20" s="270"/>
      <c r="DI20" s="271"/>
      <c r="DJ20" s="270"/>
      <c r="DK20" s="270"/>
      <c r="DL20" s="270"/>
      <c r="DM20" s="270"/>
      <c r="DN20" s="270"/>
      <c r="DO20" s="270"/>
      <c r="DP20" s="271"/>
      <c r="DQ20" s="270"/>
      <c r="DR20" s="270"/>
      <c r="DS20" s="270"/>
      <c r="DT20" s="270"/>
      <c r="DU20" s="270"/>
      <c r="DV20" s="270"/>
      <c r="DW20" s="271"/>
      <c r="DX20" s="270"/>
      <c r="DY20" s="270"/>
      <c r="DZ20" s="270"/>
      <c r="EA20" s="270"/>
      <c r="EB20" s="270"/>
      <c r="EC20" s="270"/>
      <c r="ED20" s="271"/>
      <c r="EE20" s="270"/>
      <c r="EF20" s="270"/>
      <c r="EG20" s="270"/>
      <c r="EH20" s="270"/>
      <c r="EI20" s="270"/>
      <c r="EJ20" s="270"/>
      <c r="EK20" s="271"/>
      <c r="EL20" s="270"/>
      <c r="EM20" s="270"/>
      <c r="EN20" s="270"/>
      <c r="EO20" s="270"/>
      <c r="EP20" s="270"/>
      <c r="EQ20" s="270"/>
      <c r="ER20" s="271"/>
      <c r="ES20" s="270"/>
      <c r="ET20" s="270"/>
      <c r="EU20" s="270"/>
      <c r="EV20" s="270"/>
      <c r="EW20" s="270"/>
      <c r="EX20" s="270"/>
      <c r="EY20" s="271"/>
      <c r="EZ20" s="270"/>
      <c r="FA20" s="270"/>
      <c r="FB20" s="270"/>
      <c r="FC20" s="270"/>
      <c r="FD20" s="270"/>
      <c r="FE20" s="270"/>
      <c r="FF20" s="271"/>
      <c r="FG20" s="270"/>
      <c r="FH20" s="270"/>
      <c r="FI20" s="270"/>
      <c r="FJ20" s="270"/>
      <c r="FK20" s="270"/>
      <c r="FL20" s="270"/>
      <c r="FM20" s="271"/>
      <c r="FN20" s="270"/>
      <c r="FO20" s="270"/>
      <c r="FP20" s="270"/>
      <c r="FQ20" s="270"/>
      <c r="FR20" s="270"/>
      <c r="FS20" s="270"/>
      <c r="FT20" s="271"/>
      <c r="FU20" s="270"/>
      <c r="FV20" s="270"/>
      <c r="FW20" s="270"/>
      <c r="FX20" s="270"/>
      <c r="FY20" s="270"/>
      <c r="FZ20" s="270"/>
      <c r="GA20" s="271"/>
      <c r="GB20" s="270"/>
      <c r="GC20" s="270"/>
      <c r="GD20" s="270"/>
      <c r="GE20" s="270"/>
      <c r="GF20" s="270"/>
      <c r="GG20" s="270"/>
      <c r="GH20" s="271"/>
    </row>
    <row r="21" spans="1:190" ht="12.75">
      <c r="A21" s="269" t="s">
        <v>260</v>
      </c>
      <c r="B21" s="270"/>
      <c r="C21" s="270"/>
      <c r="D21" s="270"/>
      <c r="E21" s="270"/>
      <c r="F21" s="270"/>
      <c r="G21" s="270"/>
      <c r="H21" s="271"/>
      <c r="I21" s="270"/>
      <c r="J21" s="270"/>
      <c r="K21" s="270"/>
      <c r="L21" s="270"/>
      <c r="M21" s="270"/>
      <c r="N21" s="270"/>
      <c r="O21" s="271"/>
      <c r="P21" s="270"/>
      <c r="Q21" s="270"/>
      <c r="R21" s="270"/>
      <c r="S21" s="270"/>
      <c r="T21" s="270"/>
      <c r="U21" s="270"/>
      <c r="V21" s="271"/>
      <c r="W21" s="270"/>
      <c r="X21" s="270"/>
      <c r="Y21" s="270"/>
      <c r="Z21" s="270"/>
      <c r="AA21" s="270"/>
      <c r="AB21" s="270"/>
      <c r="AC21" s="271"/>
      <c r="AD21" s="270"/>
      <c r="AE21" s="270"/>
      <c r="AF21" s="270"/>
      <c r="AG21" s="270"/>
      <c r="AH21" s="270"/>
      <c r="AI21" s="270"/>
      <c r="AJ21" s="271"/>
      <c r="AK21" s="270"/>
      <c r="AL21" s="270"/>
      <c r="AM21" s="270"/>
      <c r="AN21" s="270"/>
      <c r="AO21" s="270"/>
      <c r="AP21" s="270"/>
      <c r="AQ21" s="271"/>
      <c r="AR21" s="270"/>
      <c r="AS21" s="270"/>
      <c r="AT21" s="270"/>
      <c r="AU21" s="270"/>
      <c r="AV21" s="270"/>
      <c r="AW21" s="270"/>
      <c r="AX21" s="271"/>
      <c r="AY21" s="270"/>
      <c r="AZ21" s="270"/>
      <c r="BA21" s="270"/>
      <c r="BB21" s="270"/>
      <c r="BC21" s="270"/>
      <c r="BD21" s="270"/>
      <c r="BE21" s="271"/>
      <c r="BF21" s="270"/>
      <c r="BG21" s="270"/>
      <c r="BH21" s="270"/>
      <c r="BI21" s="270"/>
      <c r="BJ21" s="270"/>
      <c r="BK21" s="270"/>
      <c r="BL21" s="271"/>
      <c r="BM21" s="270"/>
      <c r="BN21" s="270"/>
      <c r="BO21" s="270"/>
      <c r="BP21" s="270"/>
      <c r="BQ21" s="270"/>
      <c r="BR21" s="270"/>
      <c r="BS21" s="271"/>
      <c r="BT21" s="270"/>
      <c r="BU21" s="270"/>
      <c r="BV21" s="270"/>
      <c r="BW21" s="270"/>
      <c r="BX21" s="270"/>
      <c r="BY21" s="270"/>
      <c r="BZ21" s="271"/>
      <c r="CA21" s="270"/>
      <c r="CB21" s="270"/>
      <c r="CC21" s="270"/>
      <c r="CD21" s="270"/>
      <c r="CE21" s="270"/>
      <c r="CF21" s="270"/>
      <c r="CG21" s="271"/>
      <c r="CH21" s="270"/>
      <c r="CI21" s="270"/>
      <c r="CJ21" s="270"/>
      <c r="CK21" s="270"/>
      <c r="CL21" s="270"/>
      <c r="CM21" s="270"/>
      <c r="CN21" s="271"/>
      <c r="CO21" s="270"/>
      <c r="CP21" s="270"/>
      <c r="CQ21" s="270"/>
      <c r="CR21" s="270"/>
      <c r="CS21" s="270"/>
      <c r="CT21" s="270"/>
      <c r="CU21" s="271"/>
      <c r="CV21" s="270"/>
      <c r="CW21" s="270"/>
      <c r="CX21" s="270"/>
      <c r="CY21" s="270"/>
      <c r="CZ21" s="270"/>
      <c r="DA21" s="270"/>
      <c r="DB21" s="271"/>
      <c r="DC21" s="270"/>
      <c r="DD21" s="270"/>
      <c r="DE21" s="270"/>
      <c r="DF21" s="270"/>
      <c r="DG21" s="270"/>
      <c r="DH21" s="270"/>
      <c r="DI21" s="271"/>
      <c r="DJ21" s="270"/>
      <c r="DK21" s="270"/>
      <c r="DL21" s="270"/>
      <c r="DM21" s="270"/>
      <c r="DN21" s="270"/>
      <c r="DO21" s="270"/>
      <c r="DP21" s="271"/>
      <c r="DQ21" s="270"/>
      <c r="DR21" s="270"/>
      <c r="DS21" s="270"/>
      <c r="DT21" s="270"/>
      <c r="DU21" s="270"/>
      <c r="DV21" s="270"/>
      <c r="DW21" s="271"/>
      <c r="DX21" s="270"/>
      <c r="DY21" s="270"/>
      <c r="DZ21" s="270"/>
      <c r="EA21" s="270"/>
      <c r="EB21" s="270"/>
      <c r="EC21" s="270"/>
      <c r="ED21" s="271"/>
      <c r="EE21" s="270"/>
      <c r="EF21" s="270"/>
      <c r="EG21" s="270"/>
      <c r="EH21" s="270"/>
      <c r="EI21" s="270"/>
      <c r="EJ21" s="270"/>
      <c r="EK21" s="271"/>
      <c r="EL21" s="270"/>
      <c r="EM21" s="270"/>
      <c r="EN21" s="270"/>
      <c r="EO21" s="270"/>
      <c r="EP21" s="270"/>
      <c r="EQ21" s="270"/>
      <c r="ER21" s="271"/>
      <c r="ES21" s="270"/>
      <c r="ET21" s="270"/>
      <c r="EU21" s="270"/>
      <c r="EV21" s="270"/>
      <c r="EW21" s="270"/>
      <c r="EX21" s="270"/>
      <c r="EY21" s="271"/>
      <c r="EZ21" s="270"/>
      <c r="FA21" s="270"/>
      <c r="FB21" s="270"/>
      <c r="FC21" s="270"/>
      <c r="FD21" s="270"/>
      <c r="FE21" s="270"/>
      <c r="FF21" s="271"/>
      <c r="FG21" s="270"/>
      <c r="FH21" s="270"/>
      <c r="FI21" s="270"/>
      <c r="FJ21" s="270"/>
      <c r="FK21" s="270"/>
      <c r="FL21" s="270"/>
      <c r="FM21" s="271"/>
      <c r="FN21" s="270"/>
      <c r="FO21" s="270"/>
      <c r="FP21" s="270"/>
      <c r="FQ21" s="270"/>
      <c r="FR21" s="270"/>
      <c r="FS21" s="270"/>
      <c r="FT21" s="271"/>
      <c r="FU21" s="270"/>
      <c r="FV21" s="270"/>
      <c r="FW21" s="270"/>
      <c r="FX21" s="270"/>
      <c r="FY21" s="270"/>
      <c r="FZ21" s="270"/>
      <c r="GA21" s="271"/>
      <c r="GB21" s="270"/>
      <c r="GC21" s="270"/>
      <c r="GD21" s="270"/>
      <c r="GE21" s="270"/>
      <c r="GF21" s="270"/>
      <c r="GG21" s="270"/>
      <c r="GH21" s="271"/>
    </row>
    <row r="22" spans="1:190" ht="12.75">
      <c r="A22" s="269" t="s">
        <v>261</v>
      </c>
      <c r="B22" s="270"/>
      <c r="C22" s="270"/>
      <c r="D22" s="270"/>
      <c r="E22" s="270"/>
      <c r="F22" s="270"/>
      <c r="G22" s="270"/>
      <c r="H22" s="271"/>
      <c r="I22" s="270"/>
      <c r="J22" s="270"/>
      <c r="K22" s="270"/>
      <c r="L22" s="270"/>
      <c r="M22" s="270"/>
      <c r="N22" s="270"/>
      <c r="O22" s="271"/>
      <c r="P22" s="270"/>
      <c r="Q22" s="270"/>
      <c r="R22" s="270"/>
      <c r="S22" s="270"/>
      <c r="T22" s="270"/>
      <c r="U22" s="270"/>
      <c r="V22" s="271"/>
      <c r="W22" s="270"/>
      <c r="X22" s="270"/>
      <c r="Y22" s="270"/>
      <c r="Z22" s="270"/>
      <c r="AA22" s="270"/>
      <c r="AB22" s="270"/>
      <c r="AC22" s="271"/>
      <c r="AD22" s="270"/>
      <c r="AE22" s="270"/>
      <c r="AF22" s="270"/>
      <c r="AG22" s="270"/>
      <c r="AH22" s="270"/>
      <c r="AI22" s="270"/>
      <c r="AJ22" s="271"/>
      <c r="AK22" s="270"/>
      <c r="AL22" s="270"/>
      <c r="AM22" s="270"/>
      <c r="AN22" s="270"/>
      <c r="AO22" s="270"/>
      <c r="AP22" s="270"/>
      <c r="AQ22" s="271"/>
      <c r="AR22" s="270"/>
      <c r="AS22" s="270"/>
      <c r="AT22" s="270"/>
      <c r="AU22" s="270"/>
      <c r="AV22" s="270"/>
      <c r="AW22" s="270"/>
      <c r="AX22" s="271"/>
      <c r="AY22" s="270"/>
      <c r="AZ22" s="270"/>
      <c r="BA22" s="270"/>
      <c r="BB22" s="270"/>
      <c r="BC22" s="270"/>
      <c r="BD22" s="270"/>
      <c r="BE22" s="271"/>
      <c r="BF22" s="270"/>
      <c r="BG22" s="270"/>
      <c r="BH22" s="270"/>
      <c r="BI22" s="270"/>
      <c r="BJ22" s="270"/>
      <c r="BK22" s="270"/>
      <c r="BL22" s="271"/>
      <c r="BM22" s="270"/>
      <c r="BN22" s="270"/>
      <c r="BO22" s="270"/>
      <c r="BP22" s="270"/>
      <c r="BQ22" s="270"/>
      <c r="BR22" s="270"/>
      <c r="BS22" s="271"/>
      <c r="BT22" s="270"/>
      <c r="BU22" s="270"/>
      <c r="BV22" s="270"/>
      <c r="BW22" s="270"/>
      <c r="BX22" s="270"/>
      <c r="BY22" s="270"/>
      <c r="BZ22" s="271"/>
      <c r="CA22" s="270"/>
      <c r="CB22" s="270"/>
      <c r="CC22" s="270"/>
      <c r="CD22" s="270"/>
      <c r="CE22" s="270"/>
      <c r="CF22" s="270"/>
      <c r="CG22" s="271"/>
      <c r="CH22" s="270"/>
      <c r="CI22" s="270"/>
      <c r="CJ22" s="270"/>
      <c r="CK22" s="270"/>
      <c r="CL22" s="270"/>
      <c r="CM22" s="270"/>
      <c r="CN22" s="271"/>
      <c r="CO22" s="270"/>
      <c r="CP22" s="270"/>
      <c r="CQ22" s="270"/>
      <c r="CR22" s="270"/>
      <c r="CS22" s="270"/>
      <c r="CT22" s="270"/>
      <c r="CU22" s="271"/>
      <c r="CV22" s="270"/>
      <c r="CW22" s="270"/>
      <c r="CX22" s="270"/>
      <c r="CY22" s="270"/>
      <c r="CZ22" s="270"/>
      <c r="DA22" s="270"/>
      <c r="DB22" s="271"/>
      <c r="DC22" s="270"/>
      <c r="DD22" s="270"/>
      <c r="DE22" s="270"/>
      <c r="DF22" s="270"/>
      <c r="DG22" s="270"/>
      <c r="DH22" s="270"/>
      <c r="DI22" s="271"/>
      <c r="DJ22" s="270"/>
      <c r="DK22" s="270"/>
      <c r="DL22" s="270"/>
      <c r="DM22" s="270"/>
      <c r="DN22" s="270"/>
      <c r="DO22" s="270"/>
      <c r="DP22" s="271"/>
      <c r="DQ22" s="270"/>
      <c r="DR22" s="270"/>
      <c r="DS22" s="270"/>
      <c r="DT22" s="270"/>
      <c r="DU22" s="270"/>
      <c r="DV22" s="270"/>
      <c r="DW22" s="271"/>
      <c r="DX22" s="270"/>
      <c r="DY22" s="270"/>
      <c r="DZ22" s="270"/>
      <c r="EA22" s="270"/>
      <c r="EB22" s="270"/>
      <c r="EC22" s="270"/>
      <c r="ED22" s="271"/>
      <c r="EE22" s="270"/>
      <c r="EF22" s="270"/>
      <c r="EG22" s="270"/>
      <c r="EH22" s="270"/>
      <c r="EI22" s="270"/>
      <c r="EJ22" s="270"/>
      <c r="EK22" s="271"/>
      <c r="EL22" s="270"/>
      <c r="EM22" s="270"/>
      <c r="EN22" s="270"/>
      <c r="EO22" s="270"/>
      <c r="EP22" s="270"/>
      <c r="EQ22" s="270"/>
      <c r="ER22" s="271"/>
      <c r="ES22" s="270"/>
      <c r="ET22" s="270"/>
      <c r="EU22" s="270"/>
      <c r="EV22" s="270"/>
      <c r="EW22" s="270"/>
      <c r="EX22" s="270"/>
      <c r="EY22" s="271"/>
      <c r="EZ22" s="270"/>
      <c r="FA22" s="270"/>
      <c r="FB22" s="270"/>
      <c r="FC22" s="270"/>
      <c r="FD22" s="270"/>
      <c r="FE22" s="270"/>
      <c r="FF22" s="271"/>
      <c r="FG22" s="270"/>
      <c r="FH22" s="270"/>
      <c r="FI22" s="270"/>
      <c r="FJ22" s="270"/>
      <c r="FK22" s="270"/>
      <c r="FL22" s="270"/>
      <c r="FM22" s="271"/>
      <c r="FN22" s="270"/>
      <c r="FO22" s="270"/>
      <c r="FP22" s="270"/>
      <c r="FQ22" s="270"/>
      <c r="FR22" s="270"/>
      <c r="FS22" s="270"/>
      <c r="FT22" s="271"/>
      <c r="FU22" s="270"/>
      <c r="FV22" s="270"/>
      <c r="FW22" s="270"/>
      <c r="FX22" s="270"/>
      <c r="FY22" s="270"/>
      <c r="FZ22" s="270"/>
      <c r="GA22" s="271"/>
      <c r="GB22" s="270"/>
      <c r="GC22" s="270"/>
      <c r="GD22" s="270"/>
      <c r="GE22" s="270"/>
      <c r="GF22" s="270"/>
      <c r="GG22" s="270"/>
      <c r="GH22" s="271"/>
    </row>
    <row r="23" spans="1:190" ht="12.75">
      <c r="A23" s="269" t="s">
        <v>2</v>
      </c>
      <c r="B23" s="270"/>
      <c r="C23" s="270"/>
      <c r="D23" s="270"/>
      <c r="E23" s="270"/>
      <c r="F23" s="270"/>
      <c r="G23" s="270"/>
      <c r="H23" s="271"/>
      <c r="I23" s="270"/>
      <c r="J23" s="270"/>
      <c r="K23" s="270"/>
      <c r="L23" s="270"/>
      <c r="M23" s="270"/>
      <c r="N23" s="270"/>
      <c r="O23" s="271"/>
      <c r="P23" s="270"/>
      <c r="Q23" s="270"/>
      <c r="R23" s="270"/>
      <c r="S23" s="270"/>
      <c r="T23" s="270"/>
      <c r="U23" s="270"/>
      <c r="V23" s="271"/>
      <c r="W23" s="270"/>
      <c r="X23" s="270"/>
      <c r="Y23" s="270"/>
      <c r="Z23" s="270"/>
      <c r="AA23" s="270"/>
      <c r="AB23" s="270"/>
      <c r="AC23" s="271"/>
      <c r="AD23" s="270"/>
      <c r="AE23" s="270"/>
      <c r="AF23" s="270"/>
      <c r="AG23" s="270"/>
      <c r="AH23" s="270"/>
      <c r="AI23" s="270"/>
      <c r="AJ23" s="271"/>
      <c r="AK23" s="270"/>
      <c r="AL23" s="270"/>
      <c r="AM23" s="270"/>
      <c r="AN23" s="270"/>
      <c r="AO23" s="270"/>
      <c r="AP23" s="270"/>
      <c r="AQ23" s="271"/>
      <c r="AR23" s="270"/>
      <c r="AS23" s="270"/>
      <c r="AT23" s="270"/>
      <c r="AU23" s="270"/>
      <c r="AV23" s="270"/>
      <c r="AW23" s="270"/>
      <c r="AX23" s="271"/>
      <c r="AY23" s="270"/>
      <c r="AZ23" s="270"/>
      <c r="BA23" s="270"/>
      <c r="BB23" s="270"/>
      <c r="BC23" s="270"/>
      <c r="BD23" s="270"/>
      <c r="BE23" s="271"/>
      <c r="BF23" s="270"/>
      <c r="BG23" s="270"/>
      <c r="BH23" s="270"/>
      <c r="BI23" s="270"/>
      <c r="BJ23" s="270"/>
      <c r="BK23" s="270"/>
      <c r="BL23" s="271"/>
      <c r="BM23" s="270"/>
      <c r="BN23" s="270"/>
      <c r="BO23" s="270"/>
      <c r="BP23" s="270"/>
      <c r="BQ23" s="270"/>
      <c r="BR23" s="270"/>
      <c r="BS23" s="271"/>
      <c r="BT23" s="270"/>
      <c r="BU23" s="270"/>
      <c r="BV23" s="270"/>
      <c r="BW23" s="270"/>
      <c r="BX23" s="270"/>
      <c r="BY23" s="270"/>
      <c r="BZ23" s="271"/>
      <c r="CA23" s="270"/>
      <c r="CB23" s="270"/>
      <c r="CC23" s="270"/>
      <c r="CD23" s="270"/>
      <c r="CE23" s="270"/>
      <c r="CF23" s="270"/>
      <c r="CG23" s="271"/>
      <c r="CH23" s="270"/>
      <c r="CI23" s="270"/>
      <c r="CJ23" s="270"/>
      <c r="CK23" s="270"/>
      <c r="CL23" s="270"/>
      <c r="CM23" s="270"/>
      <c r="CN23" s="271"/>
      <c r="CO23" s="270"/>
      <c r="CP23" s="270"/>
      <c r="CQ23" s="270"/>
      <c r="CR23" s="270"/>
      <c r="CS23" s="270"/>
      <c r="CT23" s="270"/>
      <c r="CU23" s="271"/>
      <c r="CV23" s="270"/>
      <c r="CW23" s="270"/>
      <c r="CX23" s="270"/>
      <c r="CY23" s="270"/>
      <c r="CZ23" s="270"/>
      <c r="DA23" s="270"/>
      <c r="DB23" s="271"/>
      <c r="DC23" s="270"/>
      <c r="DD23" s="270"/>
      <c r="DE23" s="270"/>
      <c r="DF23" s="270"/>
      <c r="DG23" s="270"/>
      <c r="DH23" s="270"/>
      <c r="DI23" s="271"/>
      <c r="DJ23" s="270"/>
      <c r="DK23" s="270"/>
      <c r="DL23" s="270"/>
      <c r="DM23" s="270"/>
      <c r="DN23" s="270"/>
      <c r="DO23" s="270"/>
      <c r="DP23" s="271"/>
      <c r="DQ23" s="270"/>
      <c r="DR23" s="270"/>
      <c r="DS23" s="270"/>
      <c r="DT23" s="270"/>
      <c r="DU23" s="270"/>
      <c r="DV23" s="270"/>
      <c r="DW23" s="271"/>
      <c r="DX23" s="270"/>
      <c r="DY23" s="270"/>
      <c r="DZ23" s="270"/>
      <c r="EA23" s="270"/>
      <c r="EB23" s="270"/>
      <c r="EC23" s="270"/>
      <c r="ED23" s="271"/>
      <c r="EE23" s="270"/>
      <c r="EF23" s="270"/>
      <c r="EG23" s="270"/>
      <c r="EH23" s="270"/>
      <c r="EI23" s="270"/>
      <c r="EJ23" s="270"/>
      <c r="EK23" s="271"/>
      <c r="EL23" s="270"/>
      <c r="EM23" s="270"/>
      <c r="EN23" s="270"/>
      <c r="EO23" s="270"/>
      <c r="EP23" s="270"/>
      <c r="EQ23" s="270"/>
      <c r="ER23" s="271"/>
      <c r="ES23" s="270"/>
      <c r="ET23" s="270"/>
      <c r="EU23" s="270"/>
      <c r="EV23" s="270"/>
      <c r="EW23" s="270"/>
      <c r="EX23" s="270"/>
      <c r="EY23" s="271"/>
      <c r="EZ23" s="270"/>
      <c r="FA23" s="270"/>
      <c r="FB23" s="270"/>
      <c r="FC23" s="270"/>
      <c r="FD23" s="270"/>
      <c r="FE23" s="270"/>
      <c r="FF23" s="271"/>
      <c r="FG23" s="270"/>
      <c r="FH23" s="270"/>
      <c r="FI23" s="270"/>
      <c r="FJ23" s="270"/>
      <c r="FK23" s="270"/>
      <c r="FL23" s="270"/>
      <c r="FM23" s="271"/>
      <c r="FN23" s="270"/>
      <c r="FO23" s="270"/>
      <c r="FP23" s="270"/>
      <c r="FQ23" s="270"/>
      <c r="FR23" s="270"/>
      <c r="FS23" s="270"/>
      <c r="FT23" s="271"/>
      <c r="FU23" s="270"/>
      <c r="FV23" s="270"/>
      <c r="FW23" s="270"/>
      <c r="FX23" s="270"/>
      <c r="FY23" s="270"/>
      <c r="FZ23" s="270"/>
      <c r="GA23" s="271"/>
      <c r="GB23" s="270"/>
      <c r="GC23" s="270"/>
      <c r="GD23" s="270"/>
      <c r="GE23" s="270"/>
      <c r="GF23" s="270"/>
      <c r="GG23" s="270"/>
      <c r="GH23" s="271"/>
    </row>
    <row r="24" spans="1:190" ht="12.75">
      <c r="A24" s="269" t="s">
        <v>262</v>
      </c>
      <c r="B24" s="270"/>
      <c r="C24" s="270"/>
      <c r="D24" s="270"/>
      <c r="E24" s="270"/>
      <c r="F24" s="270"/>
      <c r="G24" s="270"/>
      <c r="H24" s="271"/>
      <c r="I24" s="270"/>
      <c r="J24" s="270"/>
      <c r="K24" s="270"/>
      <c r="L24" s="270"/>
      <c r="M24" s="270"/>
      <c r="N24" s="270"/>
      <c r="O24" s="271"/>
      <c r="P24" s="270"/>
      <c r="Q24" s="270"/>
      <c r="R24" s="270"/>
      <c r="S24" s="270"/>
      <c r="T24" s="270"/>
      <c r="U24" s="270"/>
      <c r="V24" s="271"/>
      <c r="W24" s="270"/>
      <c r="X24" s="270"/>
      <c r="Y24" s="270"/>
      <c r="Z24" s="270"/>
      <c r="AA24" s="270"/>
      <c r="AB24" s="270"/>
      <c r="AC24" s="271"/>
      <c r="AD24" s="270"/>
      <c r="AE24" s="270"/>
      <c r="AF24" s="270"/>
      <c r="AG24" s="270"/>
      <c r="AH24" s="270"/>
      <c r="AI24" s="270"/>
      <c r="AJ24" s="271"/>
      <c r="AK24" s="270"/>
      <c r="AL24" s="270"/>
      <c r="AM24" s="270"/>
      <c r="AN24" s="270"/>
      <c r="AO24" s="270"/>
      <c r="AP24" s="270"/>
      <c r="AQ24" s="271"/>
      <c r="AR24" s="270"/>
      <c r="AS24" s="270"/>
      <c r="AT24" s="270"/>
      <c r="AU24" s="270"/>
      <c r="AV24" s="270"/>
      <c r="AW24" s="270"/>
      <c r="AX24" s="271"/>
      <c r="AY24" s="270"/>
      <c r="AZ24" s="270"/>
      <c r="BA24" s="270"/>
      <c r="BB24" s="270"/>
      <c r="BC24" s="270"/>
      <c r="BD24" s="270"/>
      <c r="BE24" s="271"/>
      <c r="BF24" s="270"/>
      <c r="BG24" s="270"/>
      <c r="BH24" s="270"/>
      <c r="BI24" s="270"/>
      <c r="BJ24" s="270"/>
      <c r="BK24" s="270"/>
      <c r="BL24" s="271"/>
      <c r="BM24" s="270"/>
      <c r="BN24" s="270"/>
      <c r="BO24" s="270"/>
      <c r="BP24" s="270"/>
      <c r="BQ24" s="270"/>
      <c r="BR24" s="270"/>
      <c r="BS24" s="271"/>
      <c r="BT24" s="270"/>
      <c r="BU24" s="270"/>
      <c r="BV24" s="270"/>
      <c r="BW24" s="270"/>
      <c r="BX24" s="270"/>
      <c r="BY24" s="270"/>
      <c r="BZ24" s="271"/>
      <c r="CA24" s="270"/>
      <c r="CB24" s="270"/>
      <c r="CC24" s="270"/>
      <c r="CD24" s="270"/>
      <c r="CE24" s="270"/>
      <c r="CF24" s="270"/>
      <c r="CG24" s="271"/>
      <c r="CH24" s="270"/>
      <c r="CI24" s="270"/>
      <c r="CJ24" s="270"/>
      <c r="CK24" s="270"/>
      <c r="CL24" s="270"/>
      <c r="CM24" s="270"/>
      <c r="CN24" s="271"/>
      <c r="CO24" s="270"/>
      <c r="CP24" s="270"/>
      <c r="CQ24" s="270"/>
      <c r="CR24" s="270"/>
      <c r="CS24" s="270"/>
      <c r="CT24" s="270"/>
      <c r="CU24" s="271"/>
      <c r="CV24" s="270"/>
      <c r="CW24" s="270"/>
      <c r="CX24" s="270"/>
      <c r="CY24" s="270"/>
      <c r="CZ24" s="270"/>
      <c r="DA24" s="270"/>
      <c r="DB24" s="271"/>
      <c r="DC24" s="270"/>
      <c r="DD24" s="270"/>
      <c r="DE24" s="270"/>
      <c r="DF24" s="270"/>
      <c r="DG24" s="270"/>
      <c r="DH24" s="270"/>
      <c r="DI24" s="271"/>
      <c r="DJ24" s="270"/>
      <c r="DK24" s="270"/>
      <c r="DL24" s="270"/>
      <c r="DM24" s="270"/>
      <c r="DN24" s="270"/>
      <c r="DO24" s="270"/>
      <c r="DP24" s="271"/>
      <c r="DQ24" s="270"/>
      <c r="DR24" s="270"/>
      <c r="DS24" s="270"/>
      <c r="DT24" s="270"/>
      <c r="DU24" s="270"/>
      <c r="DV24" s="270"/>
      <c r="DW24" s="271"/>
      <c r="DX24" s="270"/>
      <c r="DY24" s="270"/>
      <c r="DZ24" s="270"/>
      <c r="EA24" s="270"/>
      <c r="EB24" s="270"/>
      <c r="EC24" s="270"/>
      <c r="ED24" s="271"/>
      <c r="EE24" s="270"/>
      <c r="EF24" s="270"/>
      <c r="EG24" s="270"/>
      <c r="EH24" s="270"/>
      <c r="EI24" s="270"/>
      <c r="EJ24" s="270"/>
      <c r="EK24" s="271"/>
      <c r="EL24" s="270"/>
      <c r="EM24" s="270"/>
      <c r="EN24" s="270"/>
      <c r="EO24" s="270"/>
      <c r="EP24" s="270"/>
      <c r="EQ24" s="270"/>
      <c r="ER24" s="271"/>
      <c r="ES24" s="270"/>
      <c r="ET24" s="270"/>
      <c r="EU24" s="270"/>
      <c r="EV24" s="270"/>
      <c r="EW24" s="270"/>
      <c r="EX24" s="270"/>
      <c r="EY24" s="271"/>
      <c r="EZ24" s="270"/>
      <c r="FA24" s="270"/>
      <c r="FB24" s="270"/>
      <c r="FC24" s="270"/>
      <c r="FD24" s="270"/>
      <c r="FE24" s="270"/>
      <c r="FF24" s="271"/>
      <c r="FG24" s="270"/>
      <c r="FH24" s="270"/>
      <c r="FI24" s="270"/>
      <c r="FJ24" s="270"/>
      <c r="FK24" s="270"/>
      <c r="FL24" s="270"/>
      <c r="FM24" s="271"/>
      <c r="FN24" s="270"/>
      <c r="FO24" s="270"/>
      <c r="FP24" s="270"/>
      <c r="FQ24" s="270"/>
      <c r="FR24" s="270"/>
      <c r="FS24" s="270"/>
      <c r="FT24" s="271"/>
      <c r="FU24" s="270"/>
      <c r="FV24" s="270"/>
      <c r="FW24" s="270"/>
      <c r="FX24" s="270"/>
      <c r="FY24" s="270"/>
      <c r="FZ24" s="270"/>
      <c r="GA24" s="271"/>
      <c r="GB24" s="270"/>
      <c r="GC24" s="270"/>
      <c r="GD24" s="270"/>
      <c r="GE24" s="270"/>
      <c r="GF24" s="270"/>
      <c r="GG24" s="270"/>
      <c r="GH24" s="271"/>
    </row>
    <row r="25" spans="1:190" ht="12.75">
      <c r="A25" s="277" t="s">
        <v>263</v>
      </c>
      <c r="B25" s="270"/>
      <c r="C25" s="270"/>
      <c r="D25" s="270"/>
      <c r="E25" s="270"/>
      <c r="F25" s="270"/>
      <c r="G25" s="270"/>
      <c r="H25" s="271"/>
      <c r="I25" s="270"/>
      <c r="J25" s="270"/>
      <c r="K25" s="270"/>
      <c r="L25" s="270"/>
      <c r="M25" s="270"/>
      <c r="N25" s="270"/>
      <c r="O25" s="271"/>
      <c r="P25" s="270"/>
      <c r="Q25" s="270"/>
      <c r="R25" s="270"/>
      <c r="S25" s="270"/>
      <c r="T25" s="270"/>
      <c r="U25" s="270"/>
      <c r="V25" s="271"/>
      <c r="W25" s="270"/>
      <c r="X25" s="270"/>
      <c r="Y25" s="270"/>
      <c r="Z25" s="270"/>
      <c r="AA25" s="270"/>
      <c r="AB25" s="270"/>
      <c r="AC25" s="271"/>
      <c r="AD25" s="270"/>
      <c r="AE25" s="270"/>
      <c r="AF25" s="270"/>
      <c r="AG25" s="270"/>
      <c r="AH25" s="270"/>
      <c r="AI25" s="270"/>
      <c r="AJ25" s="271"/>
      <c r="AK25" s="270"/>
      <c r="AL25" s="270"/>
      <c r="AM25" s="270"/>
      <c r="AN25" s="270"/>
      <c r="AO25" s="270"/>
      <c r="AP25" s="270"/>
      <c r="AQ25" s="271"/>
      <c r="AR25" s="270"/>
      <c r="AS25" s="270"/>
      <c r="AT25" s="270"/>
      <c r="AU25" s="270"/>
      <c r="AV25" s="270"/>
      <c r="AW25" s="270"/>
      <c r="AX25" s="271"/>
      <c r="AY25" s="270"/>
      <c r="AZ25" s="270"/>
      <c r="BA25" s="270"/>
      <c r="BB25" s="270"/>
      <c r="BC25" s="270"/>
      <c r="BD25" s="270"/>
      <c r="BE25" s="271"/>
      <c r="BF25" s="270"/>
      <c r="BG25" s="270"/>
      <c r="BH25" s="270"/>
      <c r="BI25" s="270"/>
      <c r="BJ25" s="270"/>
      <c r="BK25" s="270"/>
      <c r="BL25" s="271"/>
      <c r="BM25" s="270"/>
      <c r="BN25" s="270"/>
      <c r="BO25" s="270"/>
      <c r="BP25" s="270"/>
      <c r="BQ25" s="270"/>
      <c r="BR25" s="270"/>
      <c r="BS25" s="271"/>
      <c r="BT25" s="270"/>
      <c r="BU25" s="270"/>
      <c r="BV25" s="270"/>
      <c r="BW25" s="270"/>
      <c r="BX25" s="270"/>
      <c r="BY25" s="270"/>
      <c r="BZ25" s="271"/>
      <c r="CA25" s="270"/>
      <c r="CB25" s="270"/>
      <c r="CC25" s="270"/>
      <c r="CD25" s="270"/>
      <c r="CE25" s="270"/>
      <c r="CF25" s="270"/>
      <c r="CG25" s="271"/>
      <c r="CH25" s="270"/>
      <c r="CI25" s="270"/>
      <c r="CJ25" s="270"/>
      <c r="CK25" s="270"/>
      <c r="CL25" s="270"/>
      <c r="CM25" s="270"/>
      <c r="CN25" s="271"/>
      <c r="CO25" s="270"/>
      <c r="CP25" s="270"/>
      <c r="CQ25" s="270"/>
      <c r="CR25" s="270"/>
      <c r="CS25" s="270"/>
      <c r="CT25" s="270"/>
      <c r="CU25" s="271"/>
      <c r="CV25" s="270"/>
      <c r="CW25" s="270"/>
      <c r="CX25" s="270"/>
      <c r="CY25" s="270"/>
      <c r="CZ25" s="270"/>
      <c r="DA25" s="270"/>
      <c r="DB25" s="271"/>
      <c r="DC25" s="270"/>
      <c r="DD25" s="270"/>
      <c r="DE25" s="270"/>
      <c r="DF25" s="270"/>
      <c r="DG25" s="270"/>
      <c r="DH25" s="270"/>
      <c r="DI25" s="271"/>
      <c r="DJ25" s="270"/>
      <c r="DK25" s="270"/>
      <c r="DL25" s="270"/>
      <c r="DM25" s="270"/>
      <c r="DN25" s="270"/>
      <c r="DO25" s="270"/>
      <c r="DP25" s="271"/>
      <c r="DQ25" s="270"/>
      <c r="DR25" s="270"/>
      <c r="DS25" s="270"/>
      <c r="DT25" s="270"/>
      <c r="DU25" s="270"/>
      <c r="DV25" s="270"/>
      <c r="DW25" s="271"/>
      <c r="DX25" s="270"/>
      <c r="DY25" s="270"/>
      <c r="DZ25" s="270"/>
      <c r="EA25" s="270"/>
      <c r="EB25" s="270"/>
      <c r="EC25" s="270"/>
      <c r="ED25" s="271"/>
      <c r="EE25" s="270"/>
      <c r="EF25" s="270"/>
      <c r="EG25" s="270"/>
      <c r="EH25" s="270"/>
      <c r="EI25" s="270"/>
      <c r="EJ25" s="270"/>
      <c r="EK25" s="271"/>
      <c r="EL25" s="270"/>
      <c r="EM25" s="270"/>
      <c r="EN25" s="270"/>
      <c r="EO25" s="270"/>
      <c r="EP25" s="270"/>
      <c r="EQ25" s="270"/>
      <c r="ER25" s="271"/>
      <c r="ES25" s="270"/>
      <c r="ET25" s="270"/>
      <c r="EU25" s="270"/>
      <c r="EV25" s="270"/>
      <c r="EW25" s="270"/>
      <c r="EX25" s="270"/>
      <c r="EY25" s="271"/>
      <c r="EZ25" s="270"/>
      <c r="FA25" s="270"/>
      <c r="FB25" s="270"/>
      <c r="FC25" s="270"/>
      <c r="FD25" s="270"/>
      <c r="FE25" s="270"/>
      <c r="FF25" s="271"/>
      <c r="FG25" s="270"/>
      <c r="FH25" s="270"/>
      <c r="FI25" s="270"/>
      <c r="FJ25" s="270"/>
      <c r="FK25" s="270"/>
      <c r="FL25" s="270"/>
      <c r="FM25" s="271"/>
      <c r="FN25" s="270"/>
      <c r="FO25" s="270"/>
      <c r="FP25" s="270"/>
      <c r="FQ25" s="270"/>
      <c r="FR25" s="270"/>
      <c r="FS25" s="270"/>
      <c r="FT25" s="271"/>
      <c r="FU25" s="270"/>
      <c r="FV25" s="270"/>
      <c r="FW25" s="270"/>
      <c r="FX25" s="270"/>
      <c r="FY25" s="270"/>
      <c r="FZ25" s="270"/>
      <c r="GA25" s="271"/>
      <c r="GB25" s="270"/>
      <c r="GC25" s="270"/>
      <c r="GD25" s="270"/>
      <c r="GE25" s="270"/>
      <c r="GF25" s="270"/>
      <c r="GG25" s="270"/>
      <c r="GH25" s="271"/>
    </row>
    <row r="26" spans="1:190" ht="12.75">
      <c r="A26" s="278" t="s">
        <v>266</v>
      </c>
      <c r="B26" s="274">
        <f aca="true" t="shared" si="24" ref="B26:AG26">PRODUCT(2.25*B19+2*B20+2.2*B21+2*B22+1.8*B23+4*B24)</f>
        <v>0</v>
      </c>
      <c r="C26" s="274">
        <f t="shared" si="24"/>
        <v>0</v>
      </c>
      <c r="D26" s="274">
        <f t="shared" si="24"/>
        <v>0</v>
      </c>
      <c r="E26" s="274">
        <f t="shared" si="24"/>
        <v>0</v>
      </c>
      <c r="F26" s="274">
        <f t="shared" si="24"/>
        <v>0</v>
      </c>
      <c r="G26" s="274">
        <f t="shared" si="24"/>
        <v>107.85</v>
      </c>
      <c r="H26" s="274">
        <f t="shared" si="24"/>
        <v>0</v>
      </c>
      <c r="I26" s="274">
        <f t="shared" si="24"/>
        <v>0</v>
      </c>
      <c r="J26" s="274">
        <f t="shared" si="24"/>
        <v>0</v>
      </c>
      <c r="K26" s="274">
        <f t="shared" si="24"/>
        <v>0</v>
      </c>
      <c r="L26" s="274">
        <f t="shared" si="24"/>
        <v>0</v>
      </c>
      <c r="M26" s="274">
        <f t="shared" si="24"/>
        <v>0</v>
      </c>
      <c r="N26" s="274">
        <f t="shared" si="24"/>
        <v>0</v>
      </c>
      <c r="O26" s="274">
        <f t="shared" si="24"/>
        <v>0</v>
      </c>
      <c r="P26" s="274">
        <f t="shared" si="24"/>
        <v>0</v>
      </c>
      <c r="Q26" s="274">
        <f t="shared" si="24"/>
        <v>0</v>
      </c>
      <c r="R26" s="274">
        <f t="shared" si="24"/>
        <v>0</v>
      </c>
      <c r="S26" s="274">
        <f t="shared" si="24"/>
        <v>0</v>
      </c>
      <c r="T26" s="274">
        <f t="shared" si="24"/>
        <v>0</v>
      </c>
      <c r="U26" s="274">
        <f t="shared" si="24"/>
        <v>0</v>
      </c>
      <c r="V26" s="274">
        <f t="shared" si="24"/>
        <v>0</v>
      </c>
      <c r="W26" s="274">
        <f t="shared" si="24"/>
        <v>0</v>
      </c>
      <c r="X26" s="274">
        <f t="shared" si="24"/>
        <v>0</v>
      </c>
      <c r="Y26" s="274">
        <f t="shared" si="24"/>
        <v>0</v>
      </c>
      <c r="Z26" s="274">
        <f t="shared" si="24"/>
        <v>0</v>
      </c>
      <c r="AA26" s="274">
        <f t="shared" si="24"/>
        <v>0</v>
      </c>
      <c r="AB26" s="274">
        <f t="shared" si="24"/>
        <v>0</v>
      </c>
      <c r="AC26" s="274">
        <f t="shared" si="24"/>
        <v>0</v>
      </c>
      <c r="AD26" s="274">
        <f t="shared" si="24"/>
        <v>0</v>
      </c>
      <c r="AE26" s="274">
        <f t="shared" si="24"/>
        <v>0</v>
      </c>
      <c r="AF26" s="274">
        <f t="shared" si="24"/>
        <v>0</v>
      </c>
      <c r="AG26" s="274">
        <f t="shared" si="24"/>
        <v>0</v>
      </c>
      <c r="AH26" s="274">
        <f aca="true" t="shared" si="25" ref="AH26:BM26">PRODUCT(2.25*AH19+2*AH20+2.2*AH21+2*AH22+1.8*AH23+4*AH24)</f>
        <v>0</v>
      </c>
      <c r="AI26" s="274">
        <f t="shared" si="25"/>
        <v>0</v>
      </c>
      <c r="AJ26" s="274">
        <f t="shared" si="25"/>
        <v>0</v>
      </c>
      <c r="AK26" s="274">
        <f t="shared" si="25"/>
        <v>0</v>
      </c>
      <c r="AL26" s="274">
        <f t="shared" si="25"/>
        <v>0</v>
      </c>
      <c r="AM26" s="274">
        <f t="shared" si="25"/>
        <v>0</v>
      </c>
      <c r="AN26" s="274">
        <f t="shared" si="25"/>
        <v>0</v>
      </c>
      <c r="AO26" s="274">
        <f t="shared" si="25"/>
        <v>0</v>
      </c>
      <c r="AP26" s="274">
        <f t="shared" si="25"/>
        <v>0</v>
      </c>
      <c r="AQ26" s="274">
        <f t="shared" si="25"/>
        <v>0</v>
      </c>
      <c r="AR26" s="274">
        <f t="shared" si="25"/>
        <v>0</v>
      </c>
      <c r="AS26" s="274">
        <f t="shared" si="25"/>
        <v>0</v>
      </c>
      <c r="AT26" s="274">
        <f t="shared" si="25"/>
        <v>0</v>
      </c>
      <c r="AU26" s="274">
        <f t="shared" si="25"/>
        <v>0</v>
      </c>
      <c r="AV26" s="274">
        <f t="shared" si="25"/>
        <v>0</v>
      </c>
      <c r="AW26" s="274">
        <f t="shared" si="25"/>
        <v>0</v>
      </c>
      <c r="AX26" s="274">
        <f t="shared" si="25"/>
        <v>0</v>
      </c>
      <c r="AY26" s="274">
        <f t="shared" si="25"/>
        <v>0</v>
      </c>
      <c r="AZ26" s="274">
        <f t="shared" si="25"/>
        <v>0</v>
      </c>
      <c r="BA26" s="274">
        <f t="shared" si="25"/>
        <v>0</v>
      </c>
      <c r="BB26" s="274">
        <f t="shared" si="25"/>
        <v>0</v>
      </c>
      <c r="BC26" s="274">
        <f t="shared" si="25"/>
        <v>0</v>
      </c>
      <c r="BD26" s="274">
        <f t="shared" si="25"/>
        <v>0</v>
      </c>
      <c r="BE26" s="274">
        <f t="shared" si="25"/>
        <v>0</v>
      </c>
      <c r="BF26" s="274">
        <f t="shared" si="25"/>
        <v>0</v>
      </c>
      <c r="BG26" s="274">
        <f t="shared" si="25"/>
        <v>0</v>
      </c>
      <c r="BH26" s="274">
        <f t="shared" si="25"/>
        <v>0</v>
      </c>
      <c r="BI26" s="274">
        <f t="shared" si="25"/>
        <v>0</v>
      </c>
      <c r="BJ26" s="274">
        <f t="shared" si="25"/>
        <v>0</v>
      </c>
      <c r="BK26" s="274">
        <f t="shared" si="25"/>
        <v>0</v>
      </c>
      <c r="BL26" s="274">
        <f t="shared" si="25"/>
        <v>0</v>
      </c>
      <c r="BM26" s="274">
        <f t="shared" si="25"/>
        <v>0</v>
      </c>
      <c r="BN26" s="274">
        <f aca="true" t="shared" si="26" ref="BN26:CS26">PRODUCT(2.25*BN19+2*BN20+2.2*BN21+2*BN22+1.8*BN23+4*BN24)</f>
        <v>0</v>
      </c>
      <c r="BO26" s="274">
        <f t="shared" si="26"/>
        <v>0</v>
      </c>
      <c r="BP26" s="274">
        <f t="shared" si="26"/>
        <v>0</v>
      </c>
      <c r="BQ26" s="274">
        <f t="shared" si="26"/>
        <v>0</v>
      </c>
      <c r="BR26" s="274">
        <f t="shared" si="26"/>
        <v>0</v>
      </c>
      <c r="BS26" s="274">
        <f t="shared" si="26"/>
        <v>0</v>
      </c>
      <c r="BT26" s="274">
        <f t="shared" si="26"/>
        <v>0</v>
      </c>
      <c r="BU26" s="274">
        <f t="shared" si="26"/>
        <v>0</v>
      </c>
      <c r="BV26" s="274">
        <f t="shared" si="26"/>
        <v>0</v>
      </c>
      <c r="BW26" s="274">
        <f t="shared" si="26"/>
        <v>0</v>
      </c>
      <c r="BX26" s="274">
        <f t="shared" si="26"/>
        <v>0</v>
      </c>
      <c r="BY26" s="274">
        <f t="shared" si="26"/>
        <v>0</v>
      </c>
      <c r="BZ26" s="274">
        <f t="shared" si="26"/>
        <v>0</v>
      </c>
      <c r="CA26" s="274">
        <f t="shared" si="26"/>
        <v>0</v>
      </c>
      <c r="CB26" s="274">
        <f t="shared" si="26"/>
        <v>0</v>
      </c>
      <c r="CC26" s="274">
        <f t="shared" si="26"/>
        <v>0</v>
      </c>
      <c r="CD26" s="274">
        <f t="shared" si="26"/>
        <v>0</v>
      </c>
      <c r="CE26" s="274">
        <f t="shared" si="26"/>
        <v>0</v>
      </c>
      <c r="CF26" s="274">
        <f t="shared" si="26"/>
        <v>0</v>
      </c>
      <c r="CG26" s="274">
        <f t="shared" si="26"/>
        <v>0</v>
      </c>
      <c r="CH26" s="274">
        <f t="shared" si="26"/>
        <v>0</v>
      </c>
      <c r="CI26" s="274">
        <f t="shared" si="26"/>
        <v>0</v>
      </c>
      <c r="CJ26" s="274">
        <f t="shared" si="26"/>
        <v>0</v>
      </c>
      <c r="CK26" s="274">
        <f t="shared" si="26"/>
        <v>0</v>
      </c>
      <c r="CL26" s="274">
        <f t="shared" si="26"/>
        <v>0</v>
      </c>
      <c r="CM26" s="274">
        <f t="shared" si="26"/>
        <v>0</v>
      </c>
      <c r="CN26" s="274">
        <f t="shared" si="26"/>
        <v>0</v>
      </c>
      <c r="CO26" s="274">
        <f t="shared" si="26"/>
        <v>0</v>
      </c>
      <c r="CP26" s="274">
        <f t="shared" si="26"/>
        <v>0</v>
      </c>
      <c r="CQ26" s="274">
        <f t="shared" si="26"/>
        <v>0</v>
      </c>
      <c r="CR26" s="274">
        <f t="shared" si="26"/>
        <v>0</v>
      </c>
      <c r="CS26" s="274">
        <f t="shared" si="26"/>
        <v>0</v>
      </c>
      <c r="CT26" s="274">
        <f aca="true" t="shared" si="27" ref="CT26:DY26">PRODUCT(2.25*CT19+2*CT20+2.2*CT21+2*CT22+1.8*CT23+4*CT24)</f>
        <v>0</v>
      </c>
      <c r="CU26" s="274">
        <f t="shared" si="27"/>
        <v>0</v>
      </c>
      <c r="CV26" s="274">
        <f t="shared" si="27"/>
        <v>0</v>
      </c>
      <c r="CW26" s="274">
        <f t="shared" si="27"/>
        <v>0</v>
      </c>
      <c r="CX26" s="274">
        <f t="shared" si="27"/>
        <v>0</v>
      </c>
      <c r="CY26" s="274">
        <f t="shared" si="27"/>
        <v>0</v>
      </c>
      <c r="CZ26" s="274">
        <f t="shared" si="27"/>
        <v>0</v>
      </c>
      <c r="DA26" s="274">
        <f t="shared" si="27"/>
        <v>0</v>
      </c>
      <c r="DB26" s="274">
        <f t="shared" si="27"/>
        <v>0</v>
      </c>
      <c r="DC26" s="274">
        <f t="shared" si="27"/>
        <v>0</v>
      </c>
      <c r="DD26" s="274">
        <f t="shared" si="27"/>
        <v>0</v>
      </c>
      <c r="DE26" s="274">
        <f t="shared" si="27"/>
        <v>0</v>
      </c>
      <c r="DF26" s="274">
        <f t="shared" si="27"/>
        <v>0</v>
      </c>
      <c r="DG26" s="274">
        <f t="shared" si="27"/>
        <v>0</v>
      </c>
      <c r="DH26" s="274">
        <f t="shared" si="27"/>
        <v>0</v>
      </c>
      <c r="DI26" s="274">
        <f t="shared" si="27"/>
        <v>0</v>
      </c>
      <c r="DJ26" s="274">
        <f t="shared" si="27"/>
        <v>0</v>
      </c>
      <c r="DK26" s="274">
        <f t="shared" si="27"/>
        <v>0</v>
      </c>
      <c r="DL26" s="274">
        <f t="shared" si="27"/>
        <v>0</v>
      </c>
      <c r="DM26" s="274">
        <f t="shared" si="27"/>
        <v>0</v>
      </c>
      <c r="DN26" s="274">
        <f t="shared" si="27"/>
        <v>0</v>
      </c>
      <c r="DO26" s="274">
        <f t="shared" si="27"/>
        <v>0</v>
      </c>
      <c r="DP26" s="274">
        <f t="shared" si="27"/>
        <v>0</v>
      </c>
      <c r="DQ26" s="274">
        <f t="shared" si="27"/>
        <v>0</v>
      </c>
      <c r="DR26" s="274">
        <f t="shared" si="27"/>
        <v>0</v>
      </c>
      <c r="DS26" s="274">
        <f t="shared" si="27"/>
        <v>0</v>
      </c>
      <c r="DT26" s="274">
        <f t="shared" si="27"/>
        <v>0</v>
      </c>
      <c r="DU26" s="274">
        <f t="shared" si="27"/>
        <v>0</v>
      </c>
      <c r="DV26" s="274">
        <f t="shared" si="27"/>
        <v>0</v>
      </c>
      <c r="DW26" s="274">
        <f t="shared" si="27"/>
        <v>0</v>
      </c>
      <c r="DX26" s="274">
        <f t="shared" si="27"/>
        <v>0</v>
      </c>
      <c r="DY26" s="274">
        <f t="shared" si="27"/>
        <v>0</v>
      </c>
      <c r="DZ26" s="274">
        <f aca="true" t="shared" si="28" ref="DZ26:FE26">PRODUCT(2.25*DZ19+2*DZ20+2.2*DZ21+2*DZ22+1.8*DZ23+4*DZ24)</f>
        <v>0</v>
      </c>
      <c r="EA26" s="274">
        <f t="shared" si="28"/>
        <v>0</v>
      </c>
      <c r="EB26" s="274">
        <f t="shared" si="28"/>
        <v>0</v>
      </c>
      <c r="EC26" s="274">
        <f t="shared" si="28"/>
        <v>0</v>
      </c>
      <c r="ED26" s="274">
        <f t="shared" si="28"/>
        <v>0</v>
      </c>
      <c r="EE26" s="274">
        <f t="shared" si="28"/>
        <v>0</v>
      </c>
      <c r="EF26" s="274">
        <f t="shared" si="28"/>
        <v>0</v>
      </c>
      <c r="EG26" s="274">
        <f t="shared" si="28"/>
        <v>0</v>
      </c>
      <c r="EH26" s="274">
        <f t="shared" si="28"/>
        <v>0</v>
      </c>
      <c r="EI26" s="274">
        <f t="shared" si="28"/>
        <v>0</v>
      </c>
      <c r="EJ26" s="274">
        <f t="shared" si="28"/>
        <v>0</v>
      </c>
      <c r="EK26" s="274">
        <f t="shared" si="28"/>
        <v>0</v>
      </c>
      <c r="EL26" s="274">
        <f t="shared" si="28"/>
        <v>0</v>
      </c>
      <c r="EM26" s="274">
        <f t="shared" si="28"/>
        <v>0</v>
      </c>
      <c r="EN26" s="274">
        <f t="shared" si="28"/>
        <v>0</v>
      </c>
      <c r="EO26" s="274">
        <f t="shared" si="28"/>
        <v>0</v>
      </c>
      <c r="EP26" s="274">
        <f t="shared" si="28"/>
        <v>0</v>
      </c>
      <c r="EQ26" s="274">
        <f t="shared" si="28"/>
        <v>0</v>
      </c>
      <c r="ER26" s="274">
        <f t="shared" si="28"/>
        <v>0</v>
      </c>
      <c r="ES26" s="274">
        <f t="shared" si="28"/>
        <v>0</v>
      </c>
      <c r="ET26" s="274">
        <f t="shared" si="28"/>
        <v>0</v>
      </c>
      <c r="EU26" s="274">
        <f t="shared" si="28"/>
        <v>0</v>
      </c>
      <c r="EV26" s="274">
        <f t="shared" si="28"/>
        <v>0</v>
      </c>
      <c r="EW26" s="274">
        <f t="shared" si="28"/>
        <v>0</v>
      </c>
      <c r="EX26" s="274">
        <f t="shared" si="28"/>
        <v>0</v>
      </c>
      <c r="EY26" s="274">
        <f t="shared" si="28"/>
        <v>0</v>
      </c>
      <c r="EZ26" s="274">
        <f t="shared" si="28"/>
        <v>0</v>
      </c>
      <c r="FA26" s="274">
        <f t="shared" si="28"/>
        <v>0</v>
      </c>
      <c r="FB26" s="274">
        <f t="shared" si="28"/>
        <v>0</v>
      </c>
      <c r="FC26" s="274">
        <f t="shared" si="28"/>
        <v>0</v>
      </c>
      <c r="FD26" s="274">
        <f t="shared" si="28"/>
        <v>0</v>
      </c>
      <c r="FE26" s="274">
        <f t="shared" si="28"/>
        <v>0</v>
      </c>
      <c r="FF26" s="274">
        <f aca="true" t="shared" si="29" ref="FF26:GH26">PRODUCT(2.25*FF19+2*FF20+2.2*FF21+2*FF22+1.8*FF23+4*FF24)</f>
        <v>0</v>
      </c>
      <c r="FG26" s="274">
        <f t="shared" si="29"/>
        <v>0</v>
      </c>
      <c r="FH26" s="274">
        <f t="shared" si="29"/>
        <v>0</v>
      </c>
      <c r="FI26" s="274">
        <f t="shared" si="29"/>
        <v>0</v>
      </c>
      <c r="FJ26" s="274">
        <f t="shared" si="29"/>
        <v>0</v>
      </c>
      <c r="FK26" s="274">
        <f t="shared" si="29"/>
        <v>0</v>
      </c>
      <c r="FL26" s="274">
        <f t="shared" si="29"/>
        <v>0</v>
      </c>
      <c r="FM26" s="274">
        <f t="shared" si="29"/>
        <v>0</v>
      </c>
      <c r="FN26" s="274">
        <f t="shared" si="29"/>
        <v>0</v>
      </c>
      <c r="FO26" s="274">
        <f t="shared" si="29"/>
        <v>0</v>
      </c>
      <c r="FP26" s="274">
        <f t="shared" si="29"/>
        <v>0</v>
      </c>
      <c r="FQ26" s="274">
        <f t="shared" si="29"/>
        <v>0</v>
      </c>
      <c r="FR26" s="274">
        <f t="shared" si="29"/>
        <v>0</v>
      </c>
      <c r="FS26" s="274">
        <f t="shared" si="29"/>
        <v>0</v>
      </c>
      <c r="FT26" s="274">
        <f t="shared" si="29"/>
        <v>0</v>
      </c>
      <c r="FU26" s="274">
        <f t="shared" si="29"/>
        <v>0</v>
      </c>
      <c r="FV26" s="274">
        <f t="shared" si="29"/>
        <v>0</v>
      </c>
      <c r="FW26" s="274">
        <f t="shared" si="29"/>
        <v>0</v>
      </c>
      <c r="FX26" s="274">
        <f t="shared" si="29"/>
        <v>0</v>
      </c>
      <c r="FY26" s="274">
        <f t="shared" si="29"/>
        <v>0</v>
      </c>
      <c r="FZ26" s="274">
        <f t="shared" si="29"/>
        <v>0</v>
      </c>
      <c r="GA26" s="274">
        <f t="shared" si="29"/>
        <v>0</v>
      </c>
      <c r="GB26" s="274">
        <f t="shared" si="29"/>
        <v>0</v>
      </c>
      <c r="GC26" s="274">
        <f t="shared" si="29"/>
        <v>0</v>
      </c>
      <c r="GD26" s="274">
        <f t="shared" si="29"/>
        <v>0</v>
      </c>
      <c r="GE26" s="274">
        <f t="shared" si="29"/>
        <v>0</v>
      </c>
      <c r="GF26" s="274">
        <f t="shared" si="29"/>
        <v>0</v>
      </c>
      <c r="GG26" s="274">
        <f t="shared" si="29"/>
        <v>0</v>
      </c>
      <c r="GH26" s="274">
        <f t="shared" si="29"/>
        <v>0</v>
      </c>
    </row>
    <row r="27" spans="1:190" ht="12.75">
      <c r="A27" s="279" t="s">
        <v>267</v>
      </c>
      <c r="B27" s="267">
        <f aca="true" t="shared" si="30" ref="B27:AG27">SUM(B28:B33)</f>
        <v>7.8</v>
      </c>
      <c r="C27" s="267">
        <f t="shared" si="30"/>
        <v>0</v>
      </c>
      <c r="D27" s="267">
        <f t="shared" si="30"/>
        <v>0</v>
      </c>
      <c r="E27" s="267">
        <f t="shared" si="30"/>
        <v>0</v>
      </c>
      <c r="F27" s="267">
        <f t="shared" si="30"/>
        <v>0</v>
      </c>
      <c r="G27" s="267">
        <f t="shared" si="30"/>
        <v>0</v>
      </c>
      <c r="H27" s="268">
        <f t="shared" si="30"/>
        <v>0</v>
      </c>
      <c r="I27" s="267">
        <f t="shared" si="30"/>
        <v>0</v>
      </c>
      <c r="J27" s="267">
        <f t="shared" si="30"/>
        <v>0</v>
      </c>
      <c r="K27" s="267">
        <f t="shared" si="30"/>
        <v>0</v>
      </c>
      <c r="L27" s="267">
        <f t="shared" si="30"/>
        <v>0</v>
      </c>
      <c r="M27" s="267">
        <f t="shared" si="30"/>
        <v>0</v>
      </c>
      <c r="N27" s="267">
        <f t="shared" si="30"/>
        <v>0</v>
      </c>
      <c r="O27" s="268">
        <f t="shared" si="30"/>
        <v>0</v>
      </c>
      <c r="P27" s="267">
        <f t="shared" si="30"/>
        <v>0</v>
      </c>
      <c r="Q27" s="267">
        <f t="shared" si="30"/>
        <v>0</v>
      </c>
      <c r="R27" s="267">
        <f t="shared" si="30"/>
        <v>0</v>
      </c>
      <c r="S27" s="267">
        <f t="shared" si="30"/>
        <v>0</v>
      </c>
      <c r="T27" s="267">
        <f t="shared" si="30"/>
        <v>0</v>
      </c>
      <c r="U27" s="267">
        <f t="shared" si="30"/>
        <v>0</v>
      </c>
      <c r="V27" s="268">
        <f t="shared" si="30"/>
        <v>0</v>
      </c>
      <c r="W27" s="267">
        <f t="shared" si="30"/>
        <v>0</v>
      </c>
      <c r="X27" s="267">
        <f t="shared" si="30"/>
        <v>0</v>
      </c>
      <c r="Y27" s="267">
        <f t="shared" si="30"/>
        <v>0</v>
      </c>
      <c r="Z27" s="267">
        <f t="shared" si="30"/>
        <v>0</v>
      </c>
      <c r="AA27" s="267">
        <f t="shared" si="30"/>
        <v>0</v>
      </c>
      <c r="AB27" s="267">
        <f t="shared" si="30"/>
        <v>0</v>
      </c>
      <c r="AC27" s="268">
        <f t="shared" si="30"/>
        <v>0</v>
      </c>
      <c r="AD27" s="267">
        <f t="shared" si="30"/>
        <v>0</v>
      </c>
      <c r="AE27" s="267">
        <f t="shared" si="30"/>
        <v>0</v>
      </c>
      <c r="AF27" s="267">
        <f t="shared" si="30"/>
        <v>0</v>
      </c>
      <c r="AG27" s="267">
        <f t="shared" si="30"/>
        <v>0</v>
      </c>
      <c r="AH27" s="267">
        <f aca="true" t="shared" si="31" ref="AH27:BM27">SUM(AH28:AH33)</f>
        <v>0</v>
      </c>
      <c r="AI27" s="267">
        <f t="shared" si="31"/>
        <v>0</v>
      </c>
      <c r="AJ27" s="268">
        <f t="shared" si="31"/>
        <v>0</v>
      </c>
      <c r="AK27" s="267">
        <f t="shared" si="31"/>
        <v>0</v>
      </c>
      <c r="AL27" s="267">
        <f t="shared" si="31"/>
        <v>0</v>
      </c>
      <c r="AM27" s="267">
        <f t="shared" si="31"/>
        <v>0</v>
      </c>
      <c r="AN27" s="267">
        <f t="shared" si="31"/>
        <v>0</v>
      </c>
      <c r="AO27" s="267">
        <f t="shared" si="31"/>
        <v>0</v>
      </c>
      <c r="AP27" s="267">
        <f t="shared" si="31"/>
        <v>0</v>
      </c>
      <c r="AQ27" s="268">
        <f t="shared" si="31"/>
        <v>0</v>
      </c>
      <c r="AR27" s="267">
        <f t="shared" si="31"/>
        <v>0</v>
      </c>
      <c r="AS27" s="267">
        <f t="shared" si="31"/>
        <v>0</v>
      </c>
      <c r="AT27" s="267">
        <f t="shared" si="31"/>
        <v>0</v>
      </c>
      <c r="AU27" s="267">
        <f t="shared" si="31"/>
        <v>0</v>
      </c>
      <c r="AV27" s="267">
        <f t="shared" si="31"/>
        <v>0</v>
      </c>
      <c r="AW27" s="267">
        <f t="shared" si="31"/>
        <v>0</v>
      </c>
      <c r="AX27" s="268">
        <f t="shared" si="31"/>
        <v>0</v>
      </c>
      <c r="AY27" s="267">
        <f t="shared" si="31"/>
        <v>0</v>
      </c>
      <c r="AZ27" s="267">
        <f t="shared" si="31"/>
        <v>0</v>
      </c>
      <c r="BA27" s="267">
        <f t="shared" si="31"/>
        <v>0</v>
      </c>
      <c r="BB27" s="267">
        <f t="shared" si="31"/>
        <v>0</v>
      </c>
      <c r="BC27" s="267">
        <f t="shared" si="31"/>
        <v>0</v>
      </c>
      <c r="BD27" s="267">
        <f t="shared" si="31"/>
        <v>0</v>
      </c>
      <c r="BE27" s="268">
        <f t="shared" si="31"/>
        <v>0</v>
      </c>
      <c r="BF27" s="267">
        <f t="shared" si="31"/>
        <v>0</v>
      </c>
      <c r="BG27" s="267">
        <f t="shared" si="31"/>
        <v>0</v>
      </c>
      <c r="BH27" s="267">
        <f t="shared" si="31"/>
        <v>0</v>
      </c>
      <c r="BI27" s="267">
        <f t="shared" si="31"/>
        <v>0</v>
      </c>
      <c r="BJ27" s="267">
        <f t="shared" si="31"/>
        <v>0</v>
      </c>
      <c r="BK27" s="267">
        <f t="shared" si="31"/>
        <v>0</v>
      </c>
      <c r="BL27" s="268">
        <f t="shared" si="31"/>
        <v>0</v>
      </c>
      <c r="BM27" s="267">
        <f t="shared" si="31"/>
        <v>0</v>
      </c>
      <c r="BN27" s="267">
        <f aca="true" t="shared" si="32" ref="BN27:CS27">SUM(BN28:BN33)</f>
        <v>0</v>
      </c>
      <c r="BO27" s="267">
        <f t="shared" si="32"/>
        <v>0</v>
      </c>
      <c r="BP27" s="267">
        <f t="shared" si="32"/>
        <v>0</v>
      </c>
      <c r="BQ27" s="267">
        <f t="shared" si="32"/>
        <v>0</v>
      </c>
      <c r="BR27" s="267">
        <f t="shared" si="32"/>
        <v>0</v>
      </c>
      <c r="BS27" s="268">
        <f t="shared" si="32"/>
        <v>0</v>
      </c>
      <c r="BT27" s="267">
        <f t="shared" si="32"/>
        <v>0</v>
      </c>
      <c r="BU27" s="267">
        <f t="shared" si="32"/>
        <v>0</v>
      </c>
      <c r="BV27" s="267">
        <f t="shared" si="32"/>
        <v>0</v>
      </c>
      <c r="BW27" s="267">
        <f t="shared" si="32"/>
        <v>0</v>
      </c>
      <c r="BX27" s="267">
        <f t="shared" si="32"/>
        <v>0</v>
      </c>
      <c r="BY27" s="267">
        <f t="shared" si="32"/>
        <v>0</v>
      </c>
      <c r="BZ27" s="268">
        <f t="shared" si="32"/>
        <v>0</v>
      </c>
      <c r="CA27" s="267">
        <f t="shared" si="32"/>
        <v>0</v>
      </c>
      <c r="CB27" s="267">
        <f t="shared" si="32"/>
        <v>0</v>
      </c>
      <c r="CC27" s="267">
        <f t="shared" si="32"/>
        <v>0</v>
      </c>
      <c r="CD27" s="267">
        <f t="shared" si="32"/>
        <v>0</v>
      </c>
      <c r="CE27" s="267">
        <f t="shared" si="32"/>
        <v>0</v>
      </c>
      <c r="CF27" s="267">
        <f t="shared" si="32"/>
        <v>0</v>
      </c>
      <c r="CG27" s="268">
        <f t="shared" si="32"/>
        <v>0</v>
      </c>
      <c r="CH27" s="267">
        <f t="shared" si="32"/>
        <v>0</v>
      </c>
      <c r="CI27" s="267">
        <f t="shared" si="32"/>
        <v>0</v>
      </c>
      <c r="CJ27" s="267">
        <f t="shared" si="32"/>
        <v>0</v>
      </c>
      <c r="CK27" s="267">
        <f t="shared" si="32"/>
        <v>0</v>
      </c>
      <c r="CL27" s="267">
        <f t="shared" si="32"/>
        <v>0</v>
      </c>
      <c r="CM27" s="267">
        <f t="shared" si="32"/>
        <v>0</v>
      </c>
      <c r="CN27" s="268">
        <f t="shared" si="32"/>
        <v>0</v>
      </c>
      <c r="CO27" s="267">
        <f t="shared" si="32"/>
        <v>0</v>
      </c>
      <c r="CP27" s="267">
        <f t="shared" si="32"/>
        <v>0</v>
      </c>
      <c r="CQ27" s="267">
        <f t="shared" si="32"/>
        <v>0</v>
      </c>
      <c r="CR27" s="267">
        <f t="shared" si="32"/>
        <v>0</v>
      </c>
      <c r="CS27" s="267">
        <f t="shared" si="32"/>
        <v>0</v>
      </c>
      <c r="CT27" s="267">
        <f aca="true" t="shared" si="33" ref="CT27:DY27">SUM(CT28:CT33)</f>
        <v>0</v>
      </c>
      <c r="CU27" s="268">
        <f t="shared" si="33"/>
        <v>0</v>
      </c>
      <c r="CV27" s="267">
        <f t="shared" si="33"/>
        <v>0</v>
      </c>
      <c r="CW27" s="267">
        <f t="shared" si="33"/>
        <v>0</v>
      </c>
      <c r="CX27" s="267">
        <f t="shared" si="33"/>
        <v>0</v>
      </c>
      <c r="CY27" s="267">
        <f t="shared" si="33"/>
        <v>0</v>
      </c>
      <c r="CZ27" s="267">
        <f t="shared" si="33"/>
        <v>0</v>
      </c>
      <c r="DA27" s="267">
        <f t="shared" si="33"/>
        <v>0</v>
      </c>
      <c r="DB27" s="268">
        <f t="shared" si="33"/>
        <v>0</v>
      </c>
      <c r="DC27" s="267">
        <f t="shared" si="33"/>
        <v>0</v>
      </c>
      <c r="DD27" s="267">
        <f t="shared" si="33"/>
        <v>0</v>
      </c>
      <c r="DE27" s="267">
        <f t="shared" si="33"/>
        <v>0</v>
      </c>
      <c r="DF27" s="267">
        <f t="shared" si="33"/>
        <v>0</v>
      </c>
      <c r="DG27" s="267">
        <f t="shared" si="33"/>
        <v>0</v>
      </c>
      <c r="DH27" s="267">
        <f t="shared" si="33"/>
        <v>0</v>
      </c>
      <c r="DI27" s="268">
        <f t="shared" si="33"/>
        <v>0</v>
      </c>
      <c r="DJ27" s="267">
        <f t="shared" si="33"/>
        <v>0</v>
      </c>
      <c r="DK27" s="267">
        <f t="shared" si="33"/>
        <v>0</v>
      </c>
      <c r="DL27" s="267">
        <f t="shared" si="33"/>
        <v>0</v>
      </c>
      <c r="DM27" s="267">
        <f t="shared" si="33"/>
        <v>0</v>
      </c>
      <c r="DN27" s="267">
        <f t="shared" si="33"/>
        <v>0</v>
      </c>
      <c r="DO27" s="267">
        <f t="shared" si="33"/>
        <v>0</v>
      </c>
      <c r="DP27" s="268">
        <f t="shared" si="33"/>
        <v>0</v>
      </c>
      <c r="DQ27" s="267">
        <f t="shared" si="33"/>
        <v>0</v>
      </c>
      <c r="DR27" s="267">
        <f t="shared" si="33"/>
        <v>0</v>
      </c>
      <c r="DS27" s="267">
        <f t="shared" si="33"/>
        <v>0</v>
      </c>
      <c r="DT27" s="267">
        <f t="shared" si="33"/>
        <v>0</v>
      </c>
      <c r="DU27" s="267">
        <f t="shared" si="33"/>
        <v>0</v>
      </c>
      <c r="DV27" s="267">
        <f t="shared" si="33"/>
        <v>0</v>
      </c>
      <c r="DW27" s="268">
        <f t="shared" si="33"/>
        <v>0</v>
      </c>
      <c r="DX27" s="267">
        <f t="shared" si="33"/>
        <v>0</v>
      </c>
      <c r="DY27" s="267">
        <f t="shared" si="33"/>
        <v>0</v>
      </c>
      <c r="DZ27" s="267">
        <f aca="true" t="shared" si="34" ref="DZ27:FE27">SUM(DZ28:DZ33)</f>
        <v>0</v>
      </c>
      <c r="EA27" s="267">
        <f t="shared" si="34"/>
        <v>0</v>
      </c>
      <c r="EB27" s="267">
        <f t="shared" si="34"/>
        <v>0</v>
      </c>
      <c r="EC27" s="267">
        <f t="shared" si="34"/>
        <v>0</v>
      </c>
      <c r="ED27" s="268">
        <f t="shared" si="34"/>
        <v>0</v>
      </c>
      <c r="EE27" s="267">
        <f t="shared" si="34"/>
        <v>0</v>
      </c>
      <c r="EF27" s="267">
        <f t="shared" si="34"/>
        <v>0</v>
      </c>
      <c r="EG27" s="267">
        <f t="shared" si="34"/>
        <v>0</v>
      </c>
      <c r="EH27" s="267">
        <f t="shared" si="34"/>
        <v>0</v>
      </c>
      <c r="EI27" s="267">
        <f t="shared" si="34"/>
        <v>0</v>
      </c>
      <c r="EJ27" s="267">
        <f t="shared" si="34"/>
        <v>0</v>
      </c>
      <c r="EK27" s="268">
        <f t="shared" si="34"/>
        <v>0</v>
      </c>
      <c r="EL27" s="267">
        <f t="shared" si="34"/>
        <v>0</v>
      </c>
      <c r="EM27" s="267">
        <f t="shared" si="34"/>
        <v>0</v>
      </c>
      <c r="EN27" s="267">
        <f t="shared" si="34"/>
        <v>0</v>
      </c>
      <c r="EO27" s="267">
        <f t="shared" si="34"/>
        <v>0</v>
      </c>
      <c r="EP27" s="267">
        <f t="shared" si="34"/>
        <v>0</v>
      </c>
      <c r="EQ27" s="267">
        <f t="shared" si="34"/>
        <v>0</v>
      </c>
      <c r="ER27" s="268">
        <f t="shared" si="34"/>
        <v>0</v>
      </c>
      <c r="ES27" s="267">
        <f t="shared" si="34"/>
        <v>0</v>
      </c>
      <c r="ET27" s="267">
        <f t="shared" si="34"/>
        <v>0</v>
      </c>
      <c r="EU27" s="267">
        <f t="shared" si="34"/>
        <v>0</v>
      </c>
      <c r="EV27" s="267">
        <f t="shared" si="34"/>
        <v>0</v>
      </c>
      <c r="EW27" s="267">
        <f t="shared" si="34"/>
        <v>0</v>
      </c>
      <c r="EX27" s="267">
        <f t="shared" si="34"/>
        <v>0</v>
      </c>
      <c r="EY27" s="268">
        <f t="shared" si="34"/>
        <v>0</v>
      </c>
      <c r="EZ27" s="267">
        <f t="shared" si="34"/>
        <v>0</v>
      </c>
      <c r="FA27" s="267">
        <f t="shared" si="34"/>
        <v>0</v>
      </c>
      <c r="FB27" s="267">
        <f t="shared" si="34"/>
        <v>0</v>
      </c>
      <c r="FC27" s="267">
        <f t="shared" si="34"/>
        <v>0</v>
      </c>
      <c r="FD27" s="267">
        <f t="shared" si="34"/>
        <v>0</v>
      </c>
      <c r="FE27" s="267">
        <f t="shared" si="34"/>
        <v>0</v>
      </c>
      <c r="FF27" s="268">
        <f aca="true" t="shared" si="35" ref="FF27:GH27">SUM(FF28:FF33)</f>
        <v>0</v>
      </c>
      <c r="FG27" s="267">
        <f t="shared" si="35"/>
        <v>0</v>
      </c>
      <c r="FH27" s="267">
        <f t="shared" si="35"/>
        <v>0</v>
      </c>
      <c r="FI27" s="267">
        <f t="shared" si="35"/>
        <v>0</v>
      </c>
      <c r="FJ27" s="267">
        <f t="shared" si="35"/>
        <v>0</v>
      </c>
      <c r="FK27" s="267">
        <f t="shared" si="35"/>
        <v>0</v>
      </c>
      <c r="FL27" s="267">
        <f t="shared" si="35"/>
        <v>0</v>
      </c>
      <c r="FM27" s="268">
        <f t="shared" si="35"/>
        <v>0</v>
      </c>
      <c r="FN27" s="267">
        <f t="shared" si="35"/>
        <v>0</v>
      </c>
      <c r="FO27" s="267">
        <f t="shared" si="35"/>
        <v>0</v>
      </c>
      <c r="FP27" s="267">
        <f t="shared" si="35"/>
        <v>0</v>
      </c>
      <c r="FQ27" s="267">
        <f t="shared" si="35"/>
        <v>0</v>
      </c>
      <c r="FR27" s="267">
        <f t="shared" si="35"/>
        <v>0</v>
      </c>
      <c r="FS27" s="267">
        <f t="shared" si="35"/>
        <v>0</v>
      </c>
      <c r="FT27" s="268">
        <f t="shared" si="35"/>
        <v>0</v>
      </c>
      <c r="FU27" s="267">
        <f t="shared" si="35"/>
        <v>0</v>
      </c>
      <c r="FV27" s="267">
        <f t="shared" si="35"/>
        <v>0</v>
      </c>
      <c r="FW27" s="267">
        <f t="shared" si="35"/>
        <v>0</v>
      </c>
      <c r="FX27" s="267">
        <f t="shared" si="35"/>
        <v>0</v>
      </c>
      <c r="FY27" s="267">
        <f t="shared" si="35"/>
        <v>0</v>
      </c>
      <c r="FZ27" s="267">
        <f t="shared" si="35"/>
        <v>0</v>
      </c>
      <c r="GA27" s="268">
        <f t="shared" si="35"/>
        <v>0</v>
      </c>
      <c r="GB27" s="267">
        <f t="shared" si="35"/>
        <v>0</v>
      </c>
      <c r="GC27" s="267">
        <f t="shared" si="35"/>
        <v>0</v>
      </c>
      <c r="GD27" s="267">
        <f t="shared" si="35"/>
        <v>0</v>
      </c>
      <c r="GE27" s="267">
        <f t="shared" si="35"/>
        <v>0</v>
      </c>
      <c r="GF27" s="267">
        <f t="shared" si="35"/>
        <v>0</v>
      </c>
      <c r="GG27" s="267">
        <f t="shared" si="35"/>
        <v>0</v>
      </c>
      <c r="GH27" s="268">
        <f t="shared" si="35"/>
        <v>0</v>
      </c>
    </row>
    <row r="28" spans="1:190" ht="12.75">
      <c r="A28" s="269" t="s">
        <v>0</v>
      </c>
      <c r="B28" s="270">
        <v>7</v>
      </c>
      <c r="C28" s="270"/>
      <c r="D28" s="270"/>
      <c r="E28" s="270"/>
      <c r="F28" s="270"/>
      <c r="G28" s="270"/>
      <c r="H28" s="271"/>
      <c r="I28" s="270"/>
      <c r="J28" s="270"/>
      <c r="K28" s="270"/>
      <c r="L28" s="270"/>
      <c r="M28" s="270"/>
      <c r="N28" s="270"/>
      <c r="O28" s="271"/>
      <c r="P28" s="270"/>
      <c r="Q28" s="270"/>
      <c r="R28" s="270"/>
      <c r="S28" s="270"/>
      <c r="T28" s="270"/>
      <c r="U28" s="270"/>
      <c r="V28" s="271"/>
      <c r="W28" s="270"/>
      <c r="X28" s="270"/>
      <c r="Y28" s="270"/>
      <c r="Z28" s="270"/>
      <c r="AA28" s="270"/>
      <c r="AB28" s="270"/>
      <c r="AC28" s="271"/>
      <c r="AD28" s="270"/>
      <c r="AE28" s="270"/>
      <c r="AF28" s="270"/>
      <c r="AG28" s="270"/>
      <c r="AH28" s="270"/>
      <c r="AI28" s="270"/>
      <c r="AJ28" s="271"/>
      <c r="AK28" s="270"/>
      <c r="AL28" s="270"/>
      <c r="AM28" s="270"/>
      <c r="AN28" s="270"/>
      <c r="AO28" s="270"/>
      <c r="AP28" s="270"/>
      <c r="AQ28" s="271"/>
      <c r="AR28" s="270"/>
      <c r="AS28" s="270"/>
      <c r="AT28" s="270"/>
      <c r="AU28" s="270"/>
      <c r="AV28" s="270"/>
      <c r="AW28" s="270"/>
      <c r="AX28" s="271"/>
      <c r="AY28" s="270"/>
      <c r="AZ28" s="270"/>
      <c r="BA28" s="270"/>
      <c r="BB28" s="270"/>
      <c r="BC28" s="270"/>
      <c r="BD28" s="270"/>
      <c r="BE28" s="271"/>
      <c r="BF28" s="270"/>
      <c r="BG28" s="270"/>
      <c r="BH28" s="270"/>
      <c r="BI28" s="270"/>
      <c r="BJ28" s="270"/>
      <c r="BK28" s="270"/>
      <c r="BL28" s="271"/>
      <c r="BM28" s="270"/>
      <c r="BN28" s="270"/>
      <c r="BO28" s="270"/>
      <c r="BP28" s="270"/>
      <c r="BQ28" s="270"/>
      <c r="BR28" s="270"/>
      <c r="BS28" s="271"/>
      <c r="BT28" s="270"/>
      <c r="BU28" s="270"/>
      <c r="BV28" s="270"/>
      <c r="BW28" s="270"/>
      <c r="BX28" s="270"/>
      <c r="BY28" s="270"/>
      <c r="BZ28" s="271"/>
      <c r="CA28" s="270"/>
      <c r="CB28" s="270"/>
      <c r="CC28" s="270"/>
      <c r="CD28" s="270"/>
      <c r="CE28" s="270"/>
      <c r="CF28" s="270"/>
      <c r="CG28" s="271"/>
      <c r="CH28" s="270"/>
      <c r="CI28" s="270"/>
      <c r="CJ28" s="270"/>
      <c r="CK28" s="270"/>
      <c r="CL28" s="270"/>
      <c r="CM28" s="270"/>
      <c r="CN28" s="271"/>
      <c r="CO28" s="270"/>
      <c r="CP28" s="270"/>
      <c r="CQ28" s="270"/>
      <c r="CR28" s="270"/>
      <c r="CS28" s="270"/>
      <c r="CT28" s="270"/>
      <c r="CU28" s="271"/>
      <c r="CV28" s="270"/>
      <c r="CW28" s="270"/>
      <c r="CX28" s="270"/>
      <c r="CY28" s="270"/>
      <c r="CZ28" s="270"/>
      <c r="DA28" s="270"/>
      <c r="DB28" s="271"/>
      <c r="DC28" s="270"/>
      <c r="DD28" s="270"/>
      <c r="DE28" s="270"/>
      <c r="DF28" s="270"/>
      <c r="DG28" s="270"/>
      <c r="DH28" s="270"/>
      <c r="DI28" s="271"/>
      <c r="DJ28" s="270"/>
      <c r="DK28" s="270"/>
      <c r="DL28" s="270"/>
      <c r="DM28" s="270"/>
      <c r="DN28" s="270"/>
      <c r="DO28" s="270"/>
      <c r="DP28" s="271"/>
      <c r="DQ28" s="270"/>
      <c r="DR28" s="270"/>
      <c r="DS28" s="270"/>
      <c r="DT28" s="270"/>
      <c r="DU28" s="270"/>
      <c r="DV28" s="270"/>
      <c r="DW28" s="271"/>
      <c r="DX28" s="270"/>
      <c r="DY28" s="270"/>
      <c r="DZ28" s="270"/>
      <c r="EA28" s="270"/>
      <c r="EB28" s="270"/>
      <c r="EC28" s="270"/>
      <c r="ED28" s="271"/>
      <c r="EE28" s="270"/>
      <c r="EF28" s="270"/>
      <c r="EG28" s="270"/>
      <c r="EH28" s="270"/>
      <c r="EI28" s="270"/>
      <c r="EJ28" s="270"/>
      <c r="EK28" s="271"/>
      <c r="EL28" s="270"/>
      <c r="EM28" s="270"/>
      <c r="EN28" s="270"/>
      <c r="EO28" s="270"/>
      <c r="EP28" s="270"/>
      <c r="EQ28" s="270"/>
      <c r="ER28" s="271"/>
      <c r="ES28" s="270"/>
      <c r="ET28" s="270"/>
      <c r="EU28" s="270"/>
      <c r="EV28" s="270"/>
      <c r="EW28" s="270"/>
      <c r="EX28" s="270"/>
      <c r="EY28" s="271"/>
      <c r="EZ28" s="270"/>
      <c r="FA28" s="270"/>
      <c r="FB28" s="270"/>
      <c r="FC28" s="270"/>
      <c r="FD28" s="270"/>
      <c r="FE28" s="270"/>
      <c r="FF28" s="271"/>
      <c r="FG28" s="270"/>
      <c r="FH28" s="270"/>
      <c r="FI28" s="270"/>
      <c r="FJ28" s="270"/>
      <c r="FK28" s="270"/>
      <c r="FL28" s="270"/>
      <c r="FM28" s="271"/>
      <c r="FN28" s="270"/>
      <c r="FO28" s="270"/>
      <c r="FP28" s="270"/>
      <c r="FQ28" s="270"/>
      <c r="FR28" s="270"/>
      <c r="FS28" s="270"/>
      <c r="FT28" s="271"/>
      <c r="FU28" s="270"/>
      <c r="FV28" s="270"/>
      <c r="FW28" s="270"/>
      <c r="FX28" s="270"/>
      <c r="FY28" s="270"/>
      <c r="FZ28" s="270"/>
      <c r="GA28" s="271"/>
      <c r="GB28" s="270"/>
      <c r="GC28" s="270"/>
      <c r="GD28" s="270"/>
      <c r="GE28" s="270"/>
      <c r="GF28" s="270"/>
      <c r="GG28" s="270"/>
      <c r="GH28" s="271"/>
    </row>
    <row r="29" spans="1:190" ht="12.75">
      <c r="A29" s="269" t="s">
        <v>1</v>
      </c>
      <c r="B29" s="270">
        <v>0.8</v>
      </c>
      <c r="C29" s="270"/>
      <c r="D29" s="270"/>
      <c r="E29" s="270"/>
      <c r="F29" s="270"/>
      <c r="G29" s="270"/>
      <c r="H29" s="271"/>
      <c r="I29" s="270"/>
      <c r="J29" s="270"/>
      <c r="K29" s="270"/>
      <c r="L29" s="270"/>
      <c r="M29" s="270"/>
      <c r="N29" s="270"/>
      <c r="O29" s="271"/>
      <c r="P29" s="270"/>
      <c r="Q29" s="270"/>
      <c r="R29" s="270"/>
      <c r="S29" s="270"/>
      <c r="T29" s="270"/>
      <c r="U29" s="270"/>
      <c r="V29" s="271"/>
      <c r="W29" s="270"/>
      <c r="X29" s="270"/>
      <c r="Y29" s="270"/>
      <c r="Z29" s="270"/>
      <c r="AA29" s="270"/>
      <c r="AB29" s="270"/>
      <c r="AC29" s="271"/>
      <c r="AD29" s="270"/>
      <c r="AE29" s="270"/>
      <c r="AF29" s="270"/>
      <c r="AG29" s="270"/>
      <c r="AH29" s="270"/>
      <c r="AI29" s="270"/>
      <c r="AJ29" s="271"/>
      <c r="AK29" s="270"/>
      <c r="AL29" s="270"/>
      <c r="AM29" s="270"/>
      <c r="AN29" s="270"/>
      <c r="AO29" s="270"/>
      <c r="AP29" s="270"/>
      <c r="AQ29" s="271"/>
      <c r="AR29" s="270"/>
      <c r="AS29" s="270"/>
      <c r="AT29" s="270"/>
      <c r="AU29" s="270"/>
      <c r="AV29" s="270"/>
      <c r="AW29" s="270"/>
      <c r="AX29" s="271"/>
      <c r="AY29" s="270"/>
      <c r="AZ29" s="270"/>
      <c r="BA29" s="270"/>
      <c r="BB29" s="270"/>
      <c r="BC29" s="270"/>
      <c r="BD29" s="270"/>
      <c r="BE29" s="271"/>
      <c r="BF29" s="270"/>
      <c r="BG29" s="270"/>
      <c r="BH29" s="270"/>
      <c r="BI29" s="270"/>
      <c r="BJ29" s="270"/>
      <c r="BK29" s="270"/>
      <c r="BL29" s="271"/>
      <c r="BM29" s="270"/>
      <c r="BN29" s="270"/>
      <c r="BO29" s="270"/>
      <c r="BP29" s="270"/>
      <c r="BQ29" s="270"/>
      <c r="BR29" s="270"/>
      <c r="BS29" s="271"/>
      <c r="BT29" s="270"/>
      <c r="BU29" s="270"/>
      <c r="BV29" s="270"/>
      <c r="BW29" s="270"/>
      <c r="BX29" s="270"/>
      <c r="BY29" s="270"/>
      <c r="BZ29" s="271"/>
      <c r="CA29" s="270"/>
      <c r="CB29" s="270"/>
      <c r="CC29" s="270"/>
      <c r="CD29" s="270"/>
      <c r="CE29" s="270"/>
      <c r="CF29" s="270"/>
      <c r="CG29" s="271"/>
      <c r="CH29" s="270"/>
      <c r="CI29" s="270"/>
      <c r="CJ29" s="270"/>
      <c r="CK29" s="270"/>
      <c r="CL29" s="270"/>
      <c r="CM29" s="270"/>
      <c r="CN29" s="271"/>
      <c r="CO29" s="270"/>
      <c r="CP29" s="270"/>
      <c r="CQ29" s="270"/>
      <c r="CR29" s="270"/>
      <c r="CS29" s="270"/>
      <c r="CT29" s="270"/>
      <c r="CU29" s="271"/>
      <c r="CV29" s="270"/>
      <c r="CW29" s="270"/>
      <c r="CX29" s="270"/>
      <c r="CY29" s="270"/>
      <c r="CZ29" s="270"/>
      <c r="DA29" s="270"/>
      <c r="DB29" s="271"/>
      <c r="DC29" s="270"/>
      <c r="DD29" s="270"/>
      <c r="DE29" s="270"/>
      <c r="DF29" s="270"/>
      <c r="DG29" s="270"/>
      <c r="DH29" s="270"/>
      <c r="DI29" s="271"/>
      <c r="DJ29" s="270"/>
      <c r="DK29" s="270"/>
      <c r="DL29" s="270"/>
      <c r="DM29" s="270"/>
      <c r="DN29" s="270"/>
      <c r="DO29" s="270"/>
      <c r="DP29" s="271"/>
      <c r="DQ29" s="270"/>
      <c r="DR29" s="270"/>
      <c r="DS29" s="270"/>
      <c r="DT29" s="270"/>
      <c r="DU29" s="270"/>
      <c r="DV29" s="270"/>
      <c r="DW29" s="271"/>
      <c r="DX29" s="270"/>
      <c r="DY29" s="270"/>
      <c r="DZ29" s="270"/>
      <c r="EA29" s="270"/>
      <c r="EB29" s="270"/>
      <c r="EC29" s="270"/>
      <c r="ED29" s="271"/>
      <c r="EE29" s="270"/>
      <c r="EF29" s="270"/>
      <c r="EG29" s="270"/>
      <c r="EH29" s="270"/>
      <c r="EI29" s="270"/>
      <c r="EJ29" s="270"/>
      <c r="EK29" s="271"/>
      <c r="EL29" s="270"/>
      <c r="EM29" s="270"/>
      <c r="EN29" s="270"/>
      <c r="EO29" s="270"/>
      <c r="EP29" s="270"/>
      <c r="EQ29" s="270"/>
      <c r="ER29" s="271"/>
      <c r="ES29" s="270"/>
      <c r="ET29" s="270"/>
      <c r="EU29" s="270"/>
      <c r="EV29" s="270"/>
      <c r="EW29" s="270"/>
      <c r="EX29" s="270"/>
      <c r="EY29" s="271"/>
      <c r="EZ29" s="270"/>
      <c r="FA29" s="270"/>
      <c r="FB29" s="270"/>
      <c r="FC29" s="270"/>
      <c r="FD29" s="270"/>
      <c r="FE29" s="270"/>
      <c r="FF29" s="271"/>
      <c r="FG29" s="270"/>
      <c r="FH29" s="270"/>
      <c r="FI29" s="270"/>
      <c r="FJ29" s="270"/>
      <c r="FK29" s="270"/>
      <c r="FL29" s="270"/>
      <c r="FM29" s="271"/>
      <c r="FN29" s="270"/>
      <c r="FO29" s="270"/>
      <c r="FP29" s="270"/>
      <c r="FQ29" s="270"/>
      <c r="FR29" s="270"/>
      <c r="FS29" s="270"/>
      <c r="FT29" s="271"/>
      <c r="FU29" s="270"/>
      <c r="FV29" s="270"/>
      <c r="FW29" s="270"/>
      <c r="FX29" s="270"/>
      <c r="FY29" s="270"/>
      <c r="FZ29" s="270"/>
      <c r="GA29" s="271"/>
      <c r="GB29" s="270"/>
      <c r="GC29" s="270"/>
      <c r="GD29" s="270"/>
      <c r="GE29" s="270"/>
      <c r="GF29" s="270"/>
      <c r="GG29" s="270"/>
      <c r="GH29" s="271"/>
    </row>
    <row r="30" spans="1:190" ht="12.75">
      <c r="A30" s="269" t="s">
        <v>260</v>
      </c>
      <c r="B30" s="270"/>
      <c r="C30" s="270"/>
      <c r="D30" s="270"/>
      <c r="E30" s="270"/>
      <c r="F30" s="270"/>
      <c r="G30" s="270"/>
      <c r="H30" s="271"/>
      <c r="I30" s="270"/>
      <c r="J30" s="270"/>
      <c r="K30" s="270"/>
      <c r="L30" s="270"/>
      <c r="M30" s="270"/>
      <c r="N30" s="270"/>
      <c r="O30" s="271"/>
      <c r="P30" s="270"/>
      <c r="Q30" s="270"/>
      <c r="R30" s="270"/>
      <c r="S30" s="270"/>
      <c r="T30" s="270"/>
      <c r="U30" s="270"/>
      <c r="V30" s="271"/>
      <c r="W30" s="270"/>
      <c r="X30" s="270"/>
      <c r="Y30" s="270"/>
      <c r="Z30" s="270"/>
      <c r="AA30" s="270"/>
      <c r="AB30" s="270"/>
      <c r="AC30" s="271"/>
      <c r="AD30" s="270"/>
      <c r="AE30" s="270"/>
      <c r="AF30" s="270"/>
      <c r="AG30" s="270"/>
      <c r="AH30" s="270"/>
      <c r="AI30" s="270"/>
      <c r="AJ30" s="271"/>
      <c r="AK30" s="270"/>
      <c r="AL30" s="270"/>
      <c r="AM30" s="270"/>
      <c r="AN30" s="270"/>
      <c r="AO30" s="270"/>
      <c r="AP30" s="270"/>
      <c r="AQ30" s="271"/>
      <c r="AR30" s="270"/>
      <c r="AS30" s="270"/>
      <c r="AT30" s="270"/>
      <c r="AU30" s="270"/>
      <c r="AV30" s="270"/>
      <c r="AW30" s="270"/>
      <c r="AX30" s="271"/>
      <c r="AY30" s="270"/>
      <c r="AZ30" s="270"/>
      <c r="BA30" s="270"/>
      <c r="BB30" s="270"/>
      <c r="BC30" s="270"/>
      <c r="BD30" s="270"/>
      <c r="BE30" s="271"/>
      <c r="BF30" s="270"/>
      <c r="BG30" s="270"/>
      <c r="BH30" s="270"/>
      <c r="BI30" s="270"/>
      <c r="BJ30" s="270"/>
      <c r="BK30" s="270"/>
      <c r="BL30" s="271"/>
      <c r="BM30" s="270"/>
      <c r="BN30" s="270"/>
      <c r="BO30" s="270"/>
      <c r="BP30" s="270"/>
      <c r="BQ30" s="270"/>
      <c r="BR30" s="270"/>
      <c r="BS30" s="271"/>
      <c r="BT30" s="270"/>
      <c r="BU30" s="270"/>
      <c r="BV30" s="270"/>
      <c r="BW30" s="270"/>
      <c r="BX30" s="270"/>
      <c r="BY30" s="270"/>
      <c r="BZ30" s="271"/>
      <c r="CA30" s="270"/>
      <c r="CB30" s="270"/>
      <c r="CC30" s="270"/>
      <c r="CD30" s="270"/>
      <c r="CE30" s="270"/>
      <c r="CF30" s="270"/>
      <c r="CG30" s="271"/>
      <c r="CH30" s="270"/>
      <c r="CI30" s="270"/>
      <c r="CJ30" s="270"/>
      <c r="CK30" s="270"/>
      <c r="CL30" s="270"/>
      <c r="CM30" s="270"/>
      <c r="CN30" s="271"/>
      <c r="CO30" s="270"/>
      <c r="CP30" s="270"/>
      <c r="CQ30" s="270"/>
      <c r="CR30" s="270"/>
      <c r="CS30" s="270"/>
      <c r="CT30" s="270"/>
      <c r="CU30" s="271"/>
      <c r="CV30" s="270"/>
      <c r="CW30" s="270"/>
      <c r="CX30" s="270"/>
      <c r="CY30" s="270"/>
      <c r="CZ30" s="270"/>
      <c r="DA30" s="270"/>
      <c r="DB30" s="271"/>
      <c r="DC30" s="270"/>
      <c r="DD30" s="270"/>
      <c r="DE30" s="270"/>
      <c r="DF30" s="270"/>
      <c r="DG30" s="270"/>
      <c r="DH30" s="270"/>
      <c r="DI30" s="271"/>
      <c r="DJ30" s="270"/>
      <c r="DK30" s="270"/>
      <c r="DL30" s="270"/>
      <c r="DM30" s="270"/>
      <c r="DN30" s="270"/>
      <c r="DO30" s="270"/>
      <c r="DP30" s="271"/>
      <c r="DQ30" s="270"/>
      <c r="DR30" s="270"/>
      <c r="DS30" s="270"/>
      <c r="DT30" s="270"/>
      <c r="DU30" s="270"/>
      <c r="DV30" s="270"/>
      <c r="DW30" s="271"/>
      <c r="DX30" s="270"/>
      <c r="DY30" s="270"/>
      <c r="DZ30" s="270"/>
      <c r="EA30" s="270"/>
      <c r="EB30" s="270"/>
      <c r="EC30" s="270"/>
      <c r="ED30" s="271"/>
      <c r="EE30" s="270"/>
      <c r="EF30" s="270"/>
      <c r="EG30" s="270"/>
      <c r="EH30" s="270"/>
      <c r="EI30" s="270"/>
      <c r="EJ30" s="270"/>
      <c r="EK30" s="271"/>
      <c r="EL30" s="270"/>
      <c r="EM30" s="270"/>
      <c r="EN30" s="270"/>
      <c r="EO30" s="270"/>
      <c r="EP30" s="270"/>
      <c r="EQ30" s="270"/>
      <c r="ER30" s="271"/>
      <c r="ES30" s="270"/>
      <c r="ET30" s="270"/>
      <c r="EU30" s="270"/>
      <c r="EV30" s="270"/>
      <c r="EW30" s="270"/>
      <c r="EX30" s="270"/>
      <c r="EY30" s="271"/>
      <c r="EZ30" s="270"/>
      <c r="FA30" s="270"/>
      <c r="FB30" s="270"/>
      <c r="FC30" s="270"/>
      <c r="FD30" s="270"/>
      <c r="FE30" s="270"/>
      <c r="FF30" s="271"/>
      <c r="FG30" s="270"/>
      <c r="FH30" s="270"/>
      <c r="FI30" s="270"/>
      <c r="FJ30" s="270"/>
      <c r="FK30" s="270"/>
      <c r="FL30" s="270"/>
      <c r="FM30" s="271"/>
      <c r="FN30" s="270"/>
      <c r="FO30" s="270"/>
      <c r="FP30" s="270"/>
      <c r="FQ30" s="270"/>
      <c r="FR30" s="270"/>
      <c r="FS30" s="270"/>
      <c r="FT30" s="271"/>
      <c r="FU30" s="270"/>
      <c r="FV30" s="270"/>
      <c r="FW30" s="270"/>
      <c r="FX30" s="270"/>
      <c r="FY30" s="270"/>
      <c r="FZ30" s="270"/>
      <c r="GA30" s="271"/>
      <c r="GB30" s="270"/>
      <c r="GC30" s="270"/>
      <c r="GD30" s="270"/>
      <c r="GE30" s="270"/>
      <c r="GF30" s="270"/>
      <c r="GG30" s="270"/>
      <c r="GH30" s="271"/>
    </row>
    <row r="31" spans="1:190" ht="12.75">
      <c r="A31" s="269" t="s">
        <v>261</v>
      </c>
      <c r="B31" s="270"/>
      <c r="C31" s="270"/>
      <c r="D31" s="270"/>
      <c r="E31" s="270"/>
      <c r="F31" s="270"/>
      <c r="G31" s="270"/>
      <c r="H31" s="271"/>
      <c r="I31" s="270"/>
      <c r="J31" s="270"/>
      <c r="K31" s="270"/>
      <c r="L31" s="270"/>
      <c r="M31" s="270"/>
      <c r="N31" s="270"/>
      <c r="O31" s="271"/>
      <c r="P31" s="270"/>
      <c r="Q31" s="270"/>
      <c r="R31" s="270"/>
      <c r="S31" s="270"/>
      <c r="T31" s="270"/>
      <c r="U31" s="270"/>
      <c r="V31" s="271"/>
      <c r="W31" s="270"/>
      <c r="X31" s="270"/>
      <c r="Y31" s="270"/>
      <c r="Z31" s="270"/>
      <c r="AA31" s="270"/>
      <c r="AB31" s="270"/>
      <c r="AC31" s="271"/>
      <c r="AD31" s="270"/>
      <c r="AE31" s="270"/>
      <c r="AF31" s="270"/>
      <c r="AG31" s="270"/>
      <c r="AH31" s="270"/>
      <c r="AI31" s="270"/>
      <c r="AJ31" s="271"/>
      <c r="AK31" s="270"/>
      <c r="AL31" s="270"/>
      <c r="AM31" s="270"/>
      <c r="AN31" s="270"/>
      <c r="AO31" s="270"/>
      <c r="AP31" s="270"/>
      <c r="AQ31" s="271"/>
      <c r="AR31" s="270"/>
      <c r="AS31" s="270"/>
      <c r="AT31" s="270"/>
      <c r="AU31" s="270"/>
      <c r="AV31" s="270"/>
      <c r="AW31" s="270"/>
      <c r="AX31" s="271"/>
      <c r="AY31" s="270"/>
      <c r="AZ31" s="270"/>
      <c r="BA31" s="270"/>
      <c r="BB31" s="270"/>
      <c r="BC31" s="270"/>
      <c r="BD31" s="270"/>
      <c r="BE31" s="271"/>
      <c r="BF31" s="270"/>
      <c r="BG31" s="270"/>
      <c r="BH31" s="270"/>
      <c r="BI31" s="270"/>
      <c r="BJ31" s="270"/>
      <c r="BK31" s="270"/>
      <c r="BL31" s="271"/>
      <c r="BM31" s="270"/>
      <c r="BN31" s="270"/>
      <c r="BO31" s="270"/>
      <c r="BP31" s="270"/>
      <c r="BQ31" s="270"/>
      <c r="BR31" s="270"/>
      <c r="BS31" s="271"/>
      <c r="BT31" s="270"/>
      <c r="BU31" s="270"/>
      <c r="BV31" s="270"/>
      <c r="BW31" s="270"/>
      <c r="BX31" s="270"/>
      <c r="BY31" s="270"/>
      <c r="BZ31" s="271"/>
      <c r="CA31" s="270"/>
      <c r="CB31" s="270"/>
      <c r="CC31" s="270"/>
      <c r="CD31" s="270"/>
      <c r="CE31" s="270"/>
      <c r="CF31" s="270"/>
      <c r="CG31" s="271"/>
      <c r="CH31" s="270"/>
      <c r="CI31" s="270"/>
      <c r="CJ31" s="270"/>
      <c r="CK31" s="270"/>
      <c r="CL31" s="270"/>
      <c r="CM31" s="270"/>
      <c r="CN31" s="271"/>
      <c r="CO31" s="270"/>
      <c r="CP31" s="270"/>
      <c r="CQ31" s="270"/>
      <c r="CR31" s="270"/>
      <c r="CS31" s="270"/>
      <c r="CT31" s="270"/>
      <c r="CU31" s="271"/>
      <c r="CV31" s="270"/>
      <c r="CW31" s="270"/>
      <c r="CX31" s="270"/>
      <c r="CY31" s="270"/>
      <c r="CZ31" s="270"/>
      <c r="DA31" s="270"/>
      <c r="DB31" s="271"/>
      <c r="DC31" s="270"/>
      <c r="DD31" s="270"/>
      <c r="DE31" s="270"/>
      <c r="DF31" s="270"/>
      <c r="DG31" s="270"/>
      <c r="DH31" s="270"/>
      <c r="DI31" s="271"/>
      <c r="DJ31" s="270"/>
      <c r="DK31" s="270"/>
      <c r="DL31" s="270"/>
      <c r="DM31" s="270"/>
      <c r="DN31" s="270"/>
      <c r="DO31" s="270"/>
      <c r="DP31" s="271"/>
      <c r="DQ31" s="270"/>
      <c r="DR31" s="270"/>
      <c r="DS31" s="270"/>
      <c r="DT31" s="270"/>
      <c r="DU31" s="270"/>
      <c r="DV31" s="270"/>
      <c r="DW31" s="271"/>
      <c r="DX31" s="270"/>
      <c r="DY31" s="270"/>
      <c r="DZ31" s="270"/>
      <c r="EA31" s="270"/>
      <c r="EB31" s="270"/>
      <c r="EC31" s="270"/>
      <c r="ED31" s="271"/>
      <c r="EE31" s="270"/>
      <c r="EF31" s="270"/>
      <c r="EG31" s="270"/>
      <c r="EH31" s="270"/>
      <c r="EI31" s="270"/>
      <c r="EJ31" s="270"/>
      <c r="EK31" s="271"/>
      <c r="EL31" s="270"/>
      <c r="EM31" s="270"/>
      <c r="EN31" s="270"/>
      <c r="EO31" s="270"/>
      <c r="EP31" s="270"/>
      <c r="EQ31" s="270"/>
      <c r="ER31" s="271"/>
      <c r="ES31" s="270"/>
      <c r="ET31" s="270"/>
      <c r="EU31" s="270"/>
      <c r="EV31" s="270"/>
      <c r="EW31" s="270"/>
      <c r="EX31" s="270"/>
      <c r="EY31" s="271"/>
      <c r="EZ31" s="270"/>
      <c r="FA31" s="270"/>
      <c r="FB31" s="270"/>
      <c r="FC31" s="270"/>
      <c r="FD31" s="270"/>
      <c r="FE31" s="270"/>
      <c r="FF31" s="271"/>
      <c r="FG31" s="270"/>
      <c r="FH31" s="270"/>
      <c r="FI31" s="270"/>
      <c r="FJ31" s="270"/>
      <c r="FK31" s="270"/>
      <c r="FL31" s="270"/>
      <c r="FM31" s="271"/>
      <c r="FN31" s="270"/>
      <c r="FO31" s="270"/>
      <c r="FP31" s="270"/>
      <c r="FQ31" s="270"/>
      <c r="FR31" s="270"/>
      <c r="FS31" s="270"/>
      <c r="FT31" s="271"/>
      <c r="FU31" s="270"/>
      <c r="FV31" s="270"/>
      <c r="FW31" s="270"/>
      <c r="FX31" s="270"/>
      <c r="FY31" s="270"/>
      <c r="FZ31" s="270"/>
      <c r="GA31" s="271"/>
      <c r="GB31" s="270"/>
      <c r="GC31" s="270"/>
      <c r="GD31" s="270"/>
      <c r="GE31" s="270"/>
      <c r="GF31" s="270"/>
      <c r="GG31" s="270"/>
      <c r="GH31" s="271"/>
    </row>
    <row r="32" spans="1:190" ht="12.75">
      <c r="A32" s="269" t="s">
        <v>2</v>
      </c>
      <c r="B32" s="270"/>
      <c r="C32" s="270"/>
      <c r="D32" s="270"/>
      <c r="E32" s="270"/>
      <c r="F32" s="270"/>
      <c r="G32" s="270"/>
      <c r="H32" s="271"/>
      <c r="I32" s="270"/>
      <c r="J32" s="270"/>
      <c r="K32" s="270"/>
      <c r="L32" s="270"/>
      <c r="M32" s="270"/>
      <c r="N32" s="270"/>
      <c r="O32" s="271"/>
      <c r="P32" s="270"/>
      <c r="Q32" s="270"/>
      <c r="R32" s="270"/>
      <c r="S32" s="270"/>
      <c r="T32" s="270"/>
      <c r="U32" s="270"/>
      <c r="V32" s="271"/>
      <c r="W32" s="270"/>
      <c r="X32" s="270"/>
      <c r="Y32" s="270"/>
      <c r="Z32" s="270"/>
      <c r="AA32" s="270"/>
      <c r="AB32" s="270"/>
      <c r="AC32" s="271"/>
      <c r="AD32" s="270"/>
      <c r="AE32" s="270"/>
      <c r="AF32" s="270"/>
      <c r="AG32" s="270"/>
      <c r="AH32" s="270"/>
      <c r="AI32" s="270"/>
      <c r="AJ32" s="271"/>
      <c r="AK32" s="270"/>
      <c r="AL32" s="270"/>
      <c r="AM32" s="270"/>
      <c r="AN32" s="270"/>
      <c r="AO32" s="270"/>
      <c r="AP32" s="270"/>
      <c r="AQ32" s="271"/>
      <c r="AR32" s="270"/>
      <c r="AS32" s="270"/>
      <c r="AT32" s="270"/>
      <c r="AU32" s="270"/>
      <c r="AV32" s="270"/>
      <c r="AW32" s="270"/>
      <c r="AX32" s="271"/>
      <c r="AY32" s="270"/>
      <c r="AZ32" s="270"/>
      <c r="BA32" s="270"/>
      <c r="BB32" s="270"/>
      <c r="BC32" s="270"/>
      <c r="BD32" s="270"/>
      <c r="BE32" s="271"/>
      <c r="BF32" s="270"/>
      <c r="BG32" s="270"/>
      <c r="BH32" s="270"/>
      <c r="BI32" s="270"/>
      <c r="BJ32" s="270"/>
      <c r="BK32" s="270"/>
      <c r="BL32" s="271"/>
      <c r="BM32" s="270"/>
      <c r="BN32" s="270"/>
      <c r="BO32" s="270"/>
      <c r="BP32" s="270"/>
      <c r="BQ32" s="270"/>
      <c r="BR32" s="270"/>
      <c r="BS32" s="271"/>
      <c r="BT32" s="270"/>
      <c r="BU32" s="270"/>
      <c r="BV32" s="270"/>
      <c r="BW32" s="270"/>
      <c r="BX32" s="270"/>
      <c r="BY32" s="270"/>
      <c r="BZ32" s="271"/>
      <c r="CA32" s="270"/>
      <c r="CB32" s="270"/>
      <c r="CC32" s="270"/>
      <c r="CD32" s="270"/>
      <c r="CE32" s="270"/>
      <c r="CF32" s="270"/>
      <c r="CG32" s="271"/>
      <c r="CH32" s="270"/>
      <c r="CI32" s="270"/>
      <c r="CJ32" s="270"/>
      <c r="CK32" s="270"/>
      <c r="CL32" s="270"/>
      <c r="CM32" s="270"/>
      <c r="CN32" s="271"/>
      <c r="CO32" s="270"/>
      <c r="CP32" s="270"/>
      <c r="CQ32" s="270"/>
      <c r="CR32" s="270"/>
      <c r="CS32" s="270"/>
      <c r="CT32" s="270"/>
      <c r="CU32" s="271"/>
      <c r="CV32" s="270"/>
      <c r="CW32" s="270"/>
      <c r="CX32" s="270"/>
      <c r="CY32" s="270"/>
      <c r="CZ32" s="270"/>
      <c r="DA32" s="270"/>
      <c r="DB32" s="271"/>
      <c r="DC32" s="270"/>
      <c r="DD32" s="270"/>
      <c r="DE32" s="270"/>
      <c r="DF32" s="270"/>
      <c r="DG32" s="270"/>
      <c r="DH32" s="270"/>
      <c r="DI32" s="271"/>
      <c r="DJ32" s="270"/>
      <c r="DK32" s="270"/>
      <c r="DL32" s="270"/>
      <c r="DM32" s="270"/>
      <c r="DN32" s="270"/>
      <c r="DO32" s="270"/>
      <c r="DP32" s="271"/>
      <c r="DQ32" s="270"/>
      <c r="DR32" s="270"/>
      <c r="DS32" s="270"/>
      <c r="DT32" s="270"/>
      <c r="DU32" s="270"/>
      <c r="DV32" s="270"/>
      <c r="DW32" s="271"/>
      <c r="DX32" s="270"/>
      <c r="DY32" s="270"/>
      <c r="DZ32" s="270"/>
      <c r="EA32" s="270"/>
      <c r="EB32" s="270"/>
      <c r="EC32" s="270"/>
      <c r="ED32" s="271"/>
      <c r="EE32" s="270"/>
      <c r="EF32" s="270"/>
      <c r="EG32" s="270"/>
      <c r="EH32" s="270"/>
      <c r="EI32" s="270"/>
      <c r="EJ32" s="270"/>
      <c r="EK32" s="271"/>
      <c r="EL32" s="270"/>
      <c r="EM32" s="270"/>
      <c r="EN32" s="270"/>
      <c r="EO32" s="270"/>
      <c r="EP32" s="270"/>
      <c r="EQ32" s="270"/>
      <c r="ER32" s="271"/>
      <c r="ES32" s="270"/>
      <c r="ET32" s="270"/>
      <c r="EU32" s="270"/>
      <c r="EV32" s="270"/>
      <c r="EW32" s="270"/>
      <c r="EX32" s="270"/>
      <c r="EY32" s="271"/>
      <c r="EZ32" s="270"/>
      <c r="FA32" s="270"/>
      <c r="FB32" s="270"/>
      <c r="FC32" s="270"/>
      <c r="FD32" s="270"/>
      <c r="FE32" s="270"/>
      <c r="FF32" s="271"/>
      <c r="FG32" s="270"/>
      <c r="FH32" s="270"/>
      <c r="FI32" s="270"/>
      <c r="FJ32" s="270"/>
      <c r="FK32" s="270"/>
      <c r="FL32" s="270"/>
      <c r="FM32" s="271"/>
      <c r="FN32" s="270"/>
      <c r="FO32" s="270"/>
      <c r="FP32" s="270"/>
      <c r="FQ32" s="270"/>
      <c r="FR32" s="270"/>
      <c r="FS32" s="270"/>
      <c r="FT32" s="271"/>
      <c r="FU32" s="270"/>
      <c r="FV32" s="270"/>
      <c r="FW32" s="270"/>
      <c r="FX32" s="270"/>
      <c r="FY32" s="270"/>
      <c r="FZ32" s="270"/>
      <c r="GA32" s="271"/>
      <c r="GB32" s="270"/>
      <c r="GC32" s="270"/>
      <c r="GD32" s="270"/>
      <c r="GE32" s="270"/>
      <c r="GF32" s="270"/>
      <c r="GG32" s="270"/>
      <c r="GH32" s="271"/>
    </row>
    <row r="33" spans="1:190" ht="12.75">
      <c r="A33" s="269" t="s">
        <v>262</v>
      </c>
      <c r="B33" s="270"/>
      <c r="C33" s="270"/>
      <c r="D33" s="270"/>
      <c r="E33" s="270"/>
      <c r="F33" s="270"/>
      <c r="G33" s="270"/>
      <c r="H33" s="271"/>
      <c r="I33" s="270"/>
      <c r="J33" s="270"/>
      <c r="K33" s="270"/>
      <c r="L33" s="270"/>
      <c r="M33" s="270"/>
      <c r="N33" s="270"/>
      <c r="O33" s="271"/>
      <c r="P33" s="270"/>
      <c r="Q33" s="270"/>
      <c r="R33" s="270"/>
      <c r="S33" s="270"/>
      <c r="T33" s="270"/>
      <c r="U33" s="270"/>
      <c r="V33" s="271"/>
      <c r="W33" s="270"/>
      <c r="X33" s="270"/>
      <c r="Y33" s="270"/>
      <c r="Z33" s="270"/>
      <c r="AA33" s="270"/>
      <c r="AB33" s="270"/>
      <c r="AC33" s="271"/>
      <c r="AD33" s="270"/>
      <c r="AE33" s="270"/>
      <c r="AF33" s="270"/>
      <c r="AG33" s="270"/>
      <c r="AH33" s="270"/>
      <c r="AI33" s="270"/>
      <c r="AJ33" s="271"/>
      <c r="AK33" s="270"/>
      <c r="AL33" s="270"/>
      <c r="AM33" s="270"/>
      <c r="AN33" s="270"/>
      <c r="AO33" s="270"/>
      <c r="AP33" s="270"/>
      <c r="AQ33" s="271"/>
      <c r="AR33" s="270"/>
      <c r="AS33" s="270"/>
      <c r="AT33" s="270"/>
      <c r="AU33" s="270"/>
      <c r="AV33" s="270"/>
      <c r="AW33" s="270"/>
      <c r="AX33" s="271"/>
      <c r="AY33" s="270"/>
      <c r="AZ33" s="270"/>
      <c r="BA33" s="270"/>
      <c r="BB33" s="270"/>
      <c r="BC33" s="270"/>
      <c r="BD33" s="270"/>
      <c r="BE33" s="271"/>
      <c r="BF33" s="270"/>
      <c r="BG33" s="270"/>
      <c r="BH33" s="270"/>
      <c r="BI33" s="270"/>
      <c r="BJ33" s="270"/>
      <c r="BK33" s="270"/>
      <c r="BL33" s="271"/>
      <c r="BM33" s="270"/>
      <c r="BN33" s="270"/>
      <c r="BO33" s="270"/>
      <c r="BP33" s="270"/>
      <c r="BQ33" s="270"/>
      <c r="BR33" s="270"/>
      <c r="BS33" s="271"/>
      <c r="BT33" s="270"/>
      <c r="BU33" s="270"/>
      <c r="BV33" s="270"/>
      <c r="BW33" s="270"/>
      <c r="BX33" s="270"/>
      <c r="BY33" s="270"/>
      <c r="BZ33" s="271"/>
      <c r="CA33" s="270"/>
      <c r="CB33" s="270"/>
      <c r="CC33" s="270"/>
      <c r="CD33" s="270"/>
      <c r="CE33" s="270"/>
      <c r="CF33" s="270"/>
      <c r="CG33" s="271"/>
      <c r="CH33" s="270"/>
      <c r="CI33" s="270"/>
      <c r="CJ33" s="270"/>
      <c r="CK33" s="270"/>
      <c r="CL33" s="270"/>
      <c r="CM33" s="270"/>
      <c r="CN33" s="271"/>
      <c r="CO33" s="270"/>
      <c r="CP33" s="270"/>
      <c r="CQ33" s="270"/>
      <c r="CR33" s="270"/>
      <c r="CS33" s="270"/>
      <c r="CT33" s="270"/>
      <c r="CU33" s="271"/>
      <c r="CV33" s="270"/>
      <c r="CW33" s="270"/>
      <c r="CX33" s="270"/>
      <c r="CY33" s="270"/>
      <c r="CZ33" s="270"/>
      <c r="DA33" s="270"/>
      <c r="DB33" s="271"/>
      <c r="DC33" s="270"/>
      <c r="DD33" s="270"/>
      <c r="DE33" s="270"/>
      <c r="DF33" s="270"/>
      <c r="DG33" s="270"/>
      <c r="DH33" s="270"/>
      <c r="DI33" s="271"/>
      <c r="DJ33" s="270"/>
      <c r="DK33" s="270"/>
      <c r="DL33" s="270"/>
      <c r="DM33" s="270"/>
      <c r="DN33" s="270"/>
      <c r="DO33" s="270"/>
      <c r="DP33" s="271"/>
      <c r="DQ33" s="270"/>
      <c r="DR33" s="270"/>
      <c r="DS33" s="270"/>
      <c r="DT33" s="270"/>
      <c r="DU33" s="270"/>
      <c r="DV33" s="270"/>
      <c r="DW33" s="271"/>
      <c r="DX33" s="270"/>
      <c r="DY33" s="270"/>
      <c r="DZ33" s="270"/>
      <c r="EA33" s="270"/>
      <c r="EB33" s="270"/>
      <c r="EC33" s="270"/>
      <c r="ED33" s="271"/>
      <c r="EE33" s="270"/>
      <c r="EF33" s="270"/>
      <c r="EG33" s="270"/>
      <c r="EH33" s="270"/>
      <c r="EI33" s="270"/>
      <c r="EJ33" s="270"/>
      <c r="EK33" s="271"/>
      <c r="EL33" s="270"/>
      <c r="EM33" s="270"/>
      <c r="EN33" s="270"/>
      <c r="EO33" s="270"/>
      <c r="EP33" s="270"/>
      <c r="EQ33" s="270"/>
      <c r="ER33" s="271"/>
      <c r="ES33" s="270"/>
      <c r="ET33" s="270"/>
      <c r="EU33" s="270"/>
      <c r="EV33" s="270"/>
      <c r="EW33" s="270"/>
      <c r="EX33" s="270"/>
      <c r="EY33" s="271"/>
      <c r="EZ33" s="270"/>
      <c r="FA33" s="270"/>
      <c r="FB33" s="270"/>
      <c r="FC33" s="270"/>
      <c r="FD33" s="270"/>
      <c r="FE33" s="270"/>
      <c r="FF33" s="271"/>
      <c r="FG33" s="270"/>
      <c r="FH33" s="270"/>
      <c r="FI33" s="270"/>
      <c r="FJ33" s="270"/>
      <c r="FK33" s="270"/>
      <c r="FL33" s="270"/>
      <c r="FM33" s="271"/>
      <c r="FN33" s="270"/>
      <c r="FO33" s="270"/>
      <c r="FP33" s="270"/>
      <c r="FQ33" s="270"/>
      <c r="FR33" s="270"/>
      <c r="FS33" s="270"/>
      <c r="FT33" s="271"/>
      <c r="FU33" s="270"/>
      <c r="FV33" s="270"/>
      <c r="FW33" s="270"/>
      <c r="FX33" s="270"/>
      <c r="FY33" s="270"/>
      <c r="FZ33" s="270"/>
      <c r="GA33" s="271"/>
      <c r="GB33" s="270"/>
      <c r="GC33" s="270"/>
      <c r="GD33" s="270"/>
      <c r="GE33" s="270"/>
      <c r="GF33" s="270"/>
      <c r="GG33" s="270"/>
      <c r="GH33" s="271"/>
    </row>
    <row r="34" spans="1:190" ht="12.75">
      <c r="A34" s="277" t="s">
        <v>263</v>
      </c>
      <c r="B34" s="270"/>
      <c r="C34" s="270"/>
      <c r="D34" s="270"/>
      <c r="E34" s="270"/>
      <c r="F34" s="270"/>
      <c r="G34" s="270"/>
      <c r="H34" s="271"/>
      <c r="I34" s="270"/>
      <c r="J34" s="270"/>
      <c r="K34" s="270"/>
      <c r="L34" s="270"/>
      <c r="M34" s="270"/>
      <c r="N34" s="270"/>
      <c r="O34" s="271"/>
      <c r="P34" s="270"/>
      <c r="Q34" s="270"/>
      <c r="R34" s="270"/>
      <c r="S34" s="270"/>
      <c r="T34" s="270"/>
      <c r="U34" s="270"/>
      <c r="V34" s="271"/>
      <c r="W34" s="270"/>
      <c r="X34" s="270"/>
      <c r="Y34" s="270"/>
      <c r="Z34" s="270"/>
      <c r="AA34" s="270"/>
      <c r="AB34" s="270"/>
      <c r="AC34" s="271"/>
      <c r="AD34" s="270"/>
      <c r="AE34" s="270"/>
      <c r="AF34" s="270"/>
      <c r="AG34" s="270"/>
      <c r="AH34" s="270"/>
      <c r="AI34" s="270"/>
      <c r="AJ34" s="271"/>
      <c r="AK34" s="270"/>
      <c r="AL34" s="270"/>
      <c r="AM34" s="270"/>
      <c r="AN34" s="270"/>
      <c r="AO34" s="270"/>
      <c r="AP34" s="270"/>
      <c r="AQ34" s="271"/>
      <c r="AR34" s="270"/>
      <c r="AS34" s="270"/>
      <c r="AT34" s="270"/>
      <c r="AU34" s="270"/>
      <c r="AV34" s="270"/>
      <c r="AW34" s="270"/>
      <c r="AX34" s="271"/>
      <c r="AY34" s="270"/>
      <c r="AZ34" s="270"/>
      <c r="BA34" s="270"/>
      <c r="BB34" s="270"/>
      <c r="BC34" s="270"/>
      <c r="BD34" s="270"/>
      <c r="BE34" s="271"/>
      <c r="BF34" s="270"/>
      <c r="BG34" s="270"/>
      <c r="BH34" s="270"/>
      <c r="BI34" s="270"/>
      <c r="BJ34" s="270"/>
      <c r="BK34" s="270"/>
      <c r="BL34" s="271"/>
      <c r="BM34" s="270"/>
      <c r="BN34" s="270"/>
      <c r="BO34" s="270"/>
      <c r="BP34" s="270"/>
      <c r="BQ34" s="270"/>
      <c r="BR34" s="270"/>
      <c r="BS34" s="271"/>
      <c r="BT34" s="270"/>
      <c r="BU34" s="270"/>
      <c r="BV34" s="270"/>
      <c r="BW34" s="270"/>
      <c r="BX34" s="270"/>
      <c r="BY34" s="270"/>
      <c r="BZ34" s="271"/>
      <c r="CA34" s="270"/>
      <c r="CB34" s="270"/>
      <c r="CC34" s="270"/>
      <c r="CD34" s="270"/>
      <c r="CE34" s="270"/>
      <c r="CF34" s="270"/>
      <c r="CG34" s="271"/>
      <c r="CH34" s="270"/>
      <c r="CI34" s="270"/>
      <c r="CJ34" s="270"/>
      <c r="CK34" s="270"/>
      <c r="CL34" s="270"/>
      <c r="CM34" s="270"/>
      <c r="CN34" s="271"/>
      <c r="CO34" s="270"/>
      <c r="CP34" s="270"/>
      <c r="CQ34" s="270"/>
      <c r="CR34" s="270"/>
      <c r="CS34" s="270"/>
      <c r="CT34" s="270"/>
      <c r="CU34" s="271"/>
      <c r="CV34" s="270"/>
      <c r="CW34" s="270"/>
      <c r="CX34" s="270"/>
      <c r="CY34" s="270"/>
      <c r="CZ34" s="270"/>
      <c r="DA34" s="270"/>
      <c r="DB34" s="271"/>
      <c r="DC34" s="270"/>
      <c r="DD34" s="270"/>
      <c r="DE34" s="270"/>
      <c r="DF34" s="270"/>
      <c r="DG34" s="270"/>
      <c r="DH34" s="270"/>
      <c r="DI34" s="271"/>
      <c r="DJ34" s="270"/>
      <c r="DK34" s="270"/>
      <c r="DL34" s="270"/>
      <c r="DM34" s="270"/>
      <c r="DN34" s="270"/>
      <c r="DO34" s="270"/>
      <c r="DP34" s="271"/>
      <c r="DQ34" s="270"/>
      <c r="DR34" s="270"/>
      <c r="DS34" s="270"/>
      <c r="DT34" s="270"/>
      <c r="DU34" s="270"/>
      <c r="DV34" s="270"/>
      <c r="DW34" s="271"/>
      <c r="DX34" s="270"/>
      <c r="DY34" s="270"/>
      <c r="DZ34" s="270"/>
      <c r="EA34" s="270"/>
      <c r="EB34" s="270"/>
      <c r="EC34" s="270"/>
      <c r="ED34" s="271"/>
      <c r="EE34" s="270"/>
      <c r="EF34" s="270"/>
      <c r="EG34" s="270"/>
      <c r="EH34" s="270"/>
      <c r="EI34" s="270"/>
      <c r="EJ34" s="270"/>
      <c r="EK34" s="271"/>
      <c r="EL34" s="270"/>
      <c r="EM34" s="270"/>
      <c r="EN34" s="270"/>
      <c r="EO34" s="270"/>
      <c r="EP34" s="270"/>
      <c r="EQ34" s="270"/>
      <c r="ER34" s="271"/>
      <c r="ES34" s="270"/>
      <c r="ET34" s="270"/>
      <c r="EU34" s="270"/>
      <c r="EV34" s="270"/>
      <c r="EW34" s="270"/>
      <c r="EX34" s="270"/>
      <c r="EY34" s="271"/>
      <c r="EZ34" s="270"/>
      <c r="FA34" s="270"/>
      <c r="FB34" s="270"/>
      <c r="FC34" s="270"/>
      <c r="FD34" s="270"/>
      <c r="FE34" s="270"/>
      <c r="FF34" s="271"/>
      <c r="FG34" s="270"/>
      <c r="FH34" s="270"/>
      <c r="FI34" s="270"/>
      <c r="FJ34" s="270"/>
      <c r="FK34" s="270"/>
      <c r="FL34" s="270"/>
      <c r="FM34" s="271"/>
      <c r="FN34" s="270"/>
      <c r="FO34" s="270"/>
      <c r="FP34" s="270"/>
      <c r="FQ34" s="270"/>
      <c r="FR34" s="270"/>
      <c r="FS34" s="270"/>
      <c r="FT34" s="271"/>
      <c r="FU34" s="270"/>
      <c r="FV34" s="270"/>
      <c r="FW34" s="270"/>
      <c r="FX34" s="270"/>
      <c r="FY34" s="270"/>
      <c r="FZ34" s="270"/>
      <c r="GA34" s="271"/>
      <c r="GB34" s="270"/>
      <c r="GC34" s="270"/>
      <c r="GD34" s="270"/>
      <c r="GE34" s="270"/>
      <c r="GF34" s="270"/>
      <c r="GG34" s="270"/>
      <c r="GH34" s="271"/>
    </row>
    <row r="35" spans="1:190" ht="12.75">
      <c r="A35" s="278" t="s">
        <v>264</v>
      </c>
      <c r="B35" s="280">
        <f aca="true" t="shared" si="36" ref="B35:AG35">PRODUCT(5*B28+4.5*B29+6*B30+4*B31+4*B32+6.5*B33)</f>
        <v>38.6</v>
      </c>
      <c r="C35" s="280">
        <f t="shared" si="36"/>
        <v>0</v>
      </c>
      <c r="D35" s="280">
        <f t="shared" si="36"/>
        <v>0</v>
      </c>
      <c r="E35" s="280">
        <f t="shared" si="36"/>
        <v>0</v>
      </c>
      <c r="F35" s="280">
        <f t="shared" si="36"/>
        <v>0</v>
      </c>
      <c r="G35" s="280">
        <f t="shared" si="36"/>
        <v>0</v>
      </c>
      <c r="H35" s="280">
        <f t="shared" si="36"/>
        <v>0</v>
      </c>
      <c r="I35" s="280">
        <f t="shared" si="36"/>
        <v>0</v>
      </c>
      <c r="J35" s="280">
        <f t="shared" si="36"/>
        <v>0</v>
      </c>
      <c r="K35" s="280">
        <f t="shared" si="36"/>
        <v>0</v>
      </c>
      <c r="L35" s="280">
        <f t="shared" si="36"/>
        <v>0</v>
      </c>
      <c r="M35" s="280">
        <f t="shared" si="36"/>
        <v>0</v>
      </c>
      <c r="N35" s="280">
        <f t="shared" si="36"/>
        <v>0</v>
      </c>
      <c r="O35" s="280">
        <f t="shared" si="36"/>
        <v>0</v>
      </c>
      <c r="P35" s="280">
        <f t="shared" si="36"/>
        <v>0</v>
      </c>
      <c r="Q35" s="280">
        <f t="shared" si="36"/>
        <v>0</v>
      </c>
      <c r="R35" s="280">
        <f t="shared" si="36"/>
        <v>0</v>
      </c>
      <c r="S35" s="280">
        <f t="shared" si="36"/>
        <v>0</v>
      </c>
      <c r="T35" s="280">
        <f t="shared" si="36"/>
        <v>0</v>
      </c>
      <c r="U35" s="280">
        <f t="shared" si="36"/>
        <v>0</v>
      </c>
      <c r="V35" s="280">
        <f t="shared" si="36"/>
        <v>0</v>
      </c>
      <c r="W35" s="280">
        <f t="shared" si="36"/>
        <v>0</v>
      </c>
      <c r="X35" s="280">
        <f t="shared" si="36"/>
        <v>0</v>
      </c>
      <c r="Y35" s="280">
        <f t="shared" si="36"/>
        <v>0</v>
      </c>
      <c r="Z35" s="280">
        <f t="shared" si="36"/>
        <v>0</v>
      </c>
      <c r="AA35" s="280">
        <f t="shared" si="36"/>
        <v>0</v>
      </c>
      <c r="AB35" s="280">
        <f t="shared" si="36"/>
        <v>0</v>
      </c>
      <c r="AC35" s="280">
        <f t="shared" si="36"/>
        <v>0</v>
      </c>
      <c r="AD35" s="280">
        <f t="shared" si="36"/>
        <v>0</v>
      </c>
      <c r="AE35" s="280">
        <f t="shared" si="36"/>
        <v>0</v>
      </c>
      <c r="AF35" s="280">
        <f t="shared" si="36"/>
        <v>0</v>
      </c>
      <c r="AG35" s="280">
        <f t="shared" si="36"/>
        <v>0</v>
      </c>
      <c r="AH35" s="280">
        <f aca="true" t="shared" si="37" ref="AH35:BM35">PRODUCT(5*AH28+4.5*AH29+6*AH30+4*AH31+4*AH32+6.5*AH33)</f>
        <v>0</v>
      </c>
      <c r="AI35" s="280">
        <f t="shared" si="37"/>
        <v>0</v>
      </c>
      <c r="AJ35" s="280">
        <f t="shared" si="37"/>
        <v>0</v>
      </c>
      <c r="AK35" s="280">
        <f t="shared" si="37"/>
        <v>0</v>
      </c>
      <c r="AL35" s="280">
        <f t="shared" si="37"/>
        <v>0</v>
      </c>
      <c r="AM35" s="280">
        <f t="shared" si="37"/>
        <v>0</v>
      </c>
      <c r="AN35" s="280">
        <f t="shared" si="37"/>
        <v>0</v>
      </c>
      <c r="AO35" s="280">
        <f t="shared" si="37"/>
        <v>0</v>
      </c>
      <c r="AP35" s="280">
        <f t="shared" si="37"/>
        <v>0</v>
      </c>
      <c r="AQ35" s="280">
        <f t="shared" si="37"/>
        <v>0</v>
      </c>
      <c r="AR35" s="280">
        <f t="shared" si="37"/>
        <v>0</v>
      </c>
      <c r="AS35" s="280">
        <f t="shared" si="37"/>
        <v>0</v>
      </c>
      <c r="AT35" s="280">
        <f t="shared" si="37"/>
        <v>0</v>
      </c>
      <c r="AU35" s="280">
        <f t="shared" si="37"/>
        <v>0</v>
      </c>
      <c r="AV35" s="280">
        <f t="shared" si="37"/>
        <v>0</v>
      </c>
      <c r="AW35" s="280">
        <f t="shared" si="37"/>
        <v>0</v>
      </c>
      <c r="AX35" s="280">
        <f t="shared" si="37"/>
        <v>0</v>
      </c>
      <c r="AY35" s="280">
        <f t="shared" si="37"/>
        <v>0</v>
      </c>
      <c r="AZ35" s="280">
        <f t="shared" si="37"/>
        <v>0</v>
      </c>
      <c r="BA35" s="280">
        <f t="shared" si="37"/>
        <v>0</v>
      </c>
      <c r="BB35" s="280">
        <f t="shared" si="37"/>
        <v>0</v>
      </c>
      <c r="BC35" s="280">
        <f t="shared" si="37"/>
        <v>0</v>
      </c>
      <c r="BD35" s="280">
        <f t="shared" si="37"/>
        <v>0</v>
      </c>
      <c r="BE35" s="280">
        <f t="shared" si="37"/>
        <v>0</v>
      </c>
      <c r="BF35" s="280">
        <f t="shared" si="37"/>
        <v>0</v>
      </c>
      <c r="BG35" s="280">
        <f t="shared" si="37"/>
        <v>0</v>
      </c>
      <c r="BH35" s="280">
        <f t="shared" si="37"/>
        <v>0</v>
      </c>
      <c r="BI35" s="280">
        <f t="shared" si="37"/>
        <v>0</v>
      </c>
      <c r="BJ35" s="280">
        <f t="shared" si="37"/>
        <v>0</v>
      </c>
      <c r="BK35" s="280">
        <f t="shared" si="37"/>
        <v>0</v>
      </c>
      <c r="BL35" s="280">
        <f t="shared" si="37"/>
        <v>0</v>
      </c>
      <c r="BM35" s="280">
        <f t="shared" si="37"/>
        <v>0</v>
      </c>
      <c r="BN35" s="280">
        <f aca="true" t="shared" si="38" ref="BN35:CS35">PRODUCT(5*BN28+4.5*BN29+6*BN30+4*BN31+4*BN32+6.5*BN33)</f>
        <v>0</v>
      </c>
      <c r="BO35" s="280">
        <f t="shared" si="38"/>
        <v>0</v>
      </c>
      <c r="BP35" s="280">
        <f t="shared" si="38"/>
        <v>0</v>
      </c>
      <c r="BQ35" s="280">
        <f t="shared" si="38"/>
        <v>0</v>
      </c>
      <c r="BR35" s="280">
        <f t="shared" si="38"/>
        <v>0</v>
      </c>
      <c r="BS35" s="280">
        <f t="shared" si="38"/>
        <v>0</v>
      </c>
      <c r="BT35" s="280">
        <f t="shared" si="38"/>
        <v>0</v>
      </c>
      <c r="BU35" s="280">
        <f t="shared" si="38"/>
        <v>0</v>
      </c>
      <c r="BV35" s="280">
        <f t="shared" si="38"/>
        <v>0</v>
      </c>
      <c r="BW35" s="280">
        <f t="shared" si="38"/>
        <v>0</v>
      </c>
      <c r="BX35" s="280">
        <f t="shared" si="38"/>
        <v>0</v>
      </c>
      <c r="BY35" s="280">
        <f t="shared" si="38"/>
        <v>0</v>
      </c>
      <c r="BZ35" s="280">
        <f t="shared" si="38"/>
        <v>0</v>
      </c>
      <c r="CA35" s="280">
        <f t="shared" si="38"/>
        <v>0</v>
      </c>
      <c r="CB35" s="280">
        <f t="shared" si="38"/>
        <v>0</v>
      </c>
      <c r="CC35" s="280">
        <f t="shared" si="38"/>
        <v>0</v>
      </c>
      <c r="CD35" s="280">
        <f t="shared" si="38"/>
        <v>0</v>
      </c>
      <c r="CE35" s="280">
        <f t="shared" si="38"/>
        <v>0</v>
      </c>
      <c r="CF35" s="280">
        <f t="shared" si="38"/>
        <v>0</v>
      </c>
      <c r="CG35" s="280">
        <f t="shared" si="38"/>
        <v>0</v>
      </c>
      <c r="CH35" s="280">
        <f t="shared" si="38"/>
        <v>0</v>
      </c>
      <c r="CI35" s="280">
        <f t="shared" si="38"/>
        <v>0</v>
      </c>
      <c r="CJ35" s="280">
        <f t="shared" si="38"/>
        <v>0</v>
      </c>
      <c r="CK35" s="280">
        <f t="shared" si="38"/>
        <v>0</v>
      </c>
      <c r="CL35" s="280">
        <f t="shared" si="38"/>
        <v>0</v>
      </c>
      <c r="CM35" s="280">
        <f t="shared" si="38"/>
        <v>0</v>
      </c>
      <c r="CN35" s="280">
        <f t="shared" si="38"/>
        <v>0</v>
      </c>
      <c r="CO35" s="280">
        <f t="shared" si="38"/>
        <v>0</v>
      </c>
      <c r="CP35" s="280">
        <f t="shared" si="38"/>
        <v>0</v>
      </c>
      <c r="CQ35" s="280">
        <f t="shared" si="38"/>
        <v>0</v>
      </c>
      <c r="CR35" s="280">
        <f t="shared" si="38"/>
        <v>0</v>
      </c>
      <c r="CS35" s="280">
        <f t="shared" si="38"/>
        <v>0</v>
      </c>
      <c r="CT35" s="280">
        <f aca="true" t="shared" si="39" ref="CT35:DY35">PRODUCT(5*CT28+4.5*CT29+6*CT30+4*CT31+4*CT32+6.5*CT33)</f>
        <v>0</v>
      </c>
      <c r="CU35" s="280">
        <f t="shared" si="39"/>
        <v>0</v>
      </c>
      <c r="CV35" s="280">
        <f t="shared" si="39"/>
        <v>0</v>
      </c>
      <c r="CW35" s="280">
        <f t="shared" si="39"/>
        <v>0</v>
      </c>
      <c r="CX35" s="280">
        <f t="shared" si="39"/>
        <v>0</v>
      </c>
      <c r="CY35" s="280">
        <f t="shared" si="39"/>
        <v>0</v>
      </c>
      <c r="CZ35" s="280">
        <f t="shared" si="39"/>
        <v>0</v>
      </c>
      <c r="DA35" s="280">
        <f t="shared" si="39"/>
        <v>0</v>
      </c>
      <c r="DB35" s="280">
        <f t="shared" si="39"/>
        <v>0</v>
      </c>
      <c r="DC35" s="280">
        <f t="shared" si="39"/>
        <v>0</v>
      </c>
      <c r="DD35" s="280">
        <f t="shared" si="39"/>
        <v>0</v>
      </c>
      <c r="DE35" s="280">
        <f t="shared" si="39"/>
        <v>0</v>
      </c>
      <c r="DF35" s="280">
        <f t="shared" si="39"/>
        <v>0</v>
      </c>
      <c r="DG35" s="280">
        <f t="shared" si="39"/>
        <v>0</v>
      </c>
      <c r="DH35" s="280">
        <f t="shared" si="39"/>
        <v>0</v>
      </c>
      <c r="DI35" s="280">
        <f t="shared" si="39"/>
        <v>0</v>
      </c>
      <c r="DJ35" s="280">
        <f t="shared" si="39"/>
        <v>0</v>
      </c>
      <c r="DK35" s="280">
        <f t="shared" si="39"/>
        <v>0</v>
      </c>
      <c r="DL35" s="280">
        <f t="shared" si="39"/>
        <v>0</v>
      </c>
      <c r="DM35" s="280">
        <f t="shared" si="39"/>
        <v>0</v>
      </c>
      <c r="DN35" s="280">
        <f t="shared" si="39"/>
        <v>0</v>
      </c>
      <c r="DO35" s="280">
        <f t="shared" si="39"/>
        <v>0</v>
      </c>
      <c r="DP35" s="280">
        <f t="shared" si="39"/>
        <v>0</v>
      </c>
      <c r="DQ35" s="280">
        <f t="shared" si="39"/>
        <v>0</v>
      </c>
      <c r="DR35" s="280">
        <f t="shared" si="39"/>
        <v>0</v>
      </c>
      <c r="DS35" s="280">
        <f t="shared" si="39"/>
        <v>0</v>
      </c>
      <c r="DT35" s="280">
        <f t="shared" si="39"/>
        <v>0</v>
      </c>
      <c r="DU35" s="280">
        <f t="shared" si="39"/>
        <v>0</v>
      </c>
      <c r="DV35" s="280">
        <f t="shared" si="39"/>
        <v>0</v>
      </c>
      <c r="DW35" s="280">
        <f t="shared" si="39"/>
        <v>0</v>
      </c>
      <c r="DX35" s="280">
        <f t="shared" si="39"/>
        <v>0</v>
      </c>
      <c r="DY35" s="280">
        <f t="shared" si="39"/>
        <v>0</v>
      </c>
      <c r="DZ35" s="280">
        <f aca="true" t="shared" si="40" ref="DZ35:FE35">PRODUCT(5*DZ28+4.5*DZ29+6*DZ30+4*DZ31+4*DZ32+6.5*DZ33)</f>
        <v>0</v>
      </c>
      <c r="EA35" s="280">
        <f t="shared" si="40"/>
        <v>0</v>
      </c>
      <c r="EB35" s="280">
        <f t="shared" si="40"/>
        <v>0</v>
      </c>
      <c r="EC35" s="280">
        <f t="shared" si="40"/>
        <v>0</v>
      </c>
      <c r="ED35" s="280">
        <f t="shared" si="40"/>
        <v>0</v>
      </c>
      <c r="EE35" s="280">
        <f t="shared" si="40"/>
        <v>0</v>
      </c>
      <c r="EF35" s="280">
        <f t="shared" si="40"/>
        <v>0</v>
      </c>
      <c r="EG35" s="280">
        <f t="shared" si="40"/>
        <v>0</v>
      </c>
      <c r="EH35" s="280">
        <f t="shared" si="40"/>
        <v>0</v>
      </c>
      <c r="EI35" s="280">
        <f t="shared" si="40"/>
        <v>0</v>
      </c>
      <c r="EJ35" s="280">
        <f t="shared" si="40"/>
        <v>0</v>
      </c>
      <c r="EK35" s="280">
        <f t="shared" si="40"/>
        <v>0</v>
      </c>
      <c r="EL35" s="280">
        <f t="shared" si="40"/>
        <v>0</v>
      </c>
      <c r="EM35" s="280">
        <f t="shared" si="40"/>
        <v>0</v>
      </c>
      <c r="EN35" s="280">
        <f t="shared" si="40"/>
        <v>0</v>
      </c>
      <c r="EO35" s="280">
        <f t="shared" si="40"/>
        <v>0</v>
      </c>
      <c r="EP35" s="280">
        <f t="shared" si="40"/>
        <v>0</v>
      </c>
      <c r="EQ35" s="280">
        <f t="shared" si="40"/>
        <v>0</v>
      </c>
      <c r="ER35" s="280">
        <f t="shared" si="40"/>
        <v>0</v>
      </c>
      <c r="ES35" s="280">
        <f t="shared" si="40"/>
        <v>0</v>
      </c>
      <c r="ET35" s="280">
        <f t="shared" si="40"/>
        <v>0</v>
      </c>
      <c r="EU35" s="280">
        <f t="shared" si="40"/>
        <v>0</v>
      </c>
      <c r="EV35" s="280">
        <f t="shared" si="40"/>
        <v>0</v>
      </c>
      <c r="EW35" s="280">
        <f t="shared" si="40"/>
        <v>0</v>
      </c>
      <c r="EX35" s="280">
        <f t="shared" si="40"/>
        <v>0</v>
      </c>
      <c r="EY35" s="280">
        <f t="shared" si="40"/>
        <v>0</v>
      </c>
      <c r="EZ35" s="280">
        <f t="shared" si="40"/>
        <v>0</v>
      </c>
      <c r="FA35" s="280">
        <f t="shared" si="40"/>
        <v>0</v>
      </c>
      <c r="FB35" s="280">
        <f t="shared" si="40"/>
        <v>0</v>
      </c>
      <c r="FC35" s="280">
        <f t="shared" si="40"/>
        <v>0</v>
      </c>
      <c r="FD35" s="280">
        <f t="shared" si="40"/>
        <v>0</v>
      </c>
      <c r="FE35" s="280">
        <f t="shared" si="40"/>
        <v>0</v>
      </c>
      <c r="FF35" s="280">
        <f aca="true" t="shared" si="41" ref="FF35:GH35">PRODUCT(5*FF28+4.5*FF29+6*FF30+4*FF31+4*FF32+6.5*FF33)</f>
        <v>0</v>
      </c>
      <c r="FG35" s="280">
        <f t="shared" si="41"/>
        <v>0</v>
      </c>
      <c r="FH35" s="280">
        <f t="shared" si="41"/>
        <v>0</v>
      </c>
      <c r="FI35" s="280">
        <f t="shared" si="41"/>
        <v>0</v>
      </c>
      <c r="FJ35" s="280">
        <f t="shared" si="41"/>
        <v>0</v>
      </c>
      <c r="FK35" s="280">
        <f t="shared" si="41"/>
        <v>0</v>
      </c>
      <c r="FL35" s="280">
        <f t="shared" si="41"/>
        <v>0</v>
      </c>
      <c r="FM35" s="280">
        <f t="shared" si="41"/>
        <v>0</v>
      </c>
      <c r="FN35" s="280">
        <f t="shared" si="41"/>
        <v>0</v>
      </c>
      <c r="FO35" s="280">
        <f t="shared" si="41"/>
        <v>0</v>
      </c>
      <c r="FP35" s="280">
        <f t="shared" si="41"/>
        <v>0</v>
      </c>
      <c r="FQ35" s="280">
        <f t="shared" si="41"/>
        <v>0</v>
      </c>
      <c r="FR35" s="280">
        <f t="shared" si="41"/>
        <v>0</v>
      </c>
      <c r="FS35" s="280">
        <f t="shared" si="41"/>
        <v>0</v>
      </c>
      <c r="FT35" s="280">
        <f t="shared" si="41"/>
        <v>0</v>
      </c>
      <c r="FU35" s="280">
        <f t="shared" si="41"/>
        <v>0</v>
      </c>
      <c r="FV35" s="280">
        <f t="shared" si="41"/>
        <v>0</v>
      </c>
      <c r="FW35" s="280">
        <f t="shared" si="41"/>
        <v>0</v>
      </c>
      <c r="FX35" s="280">
        <f t="shared" si="41"/>
        <v>0</v>
      </c>
      <c r="FY35" s="280">
        <f t="shared" si="41"/>
        <v>0</v>
      </c>
      <c r="FZ35" s="280">
        <f t="shared" si="41"/>
        <v>0</v>
      </c>
      <c r="GA35" s="280">
        <f t="shared" si="41"/>
        <v>0</v>
      </c>
      <c r="GB35" s="280">
        <f t="shared" si="41"/>
        <v>0</v>
      </c>
      <c r="GC35" s="280">
        <f t="shared" si="41"/>
        <v>0</v>
      </c>
      <c r="GD35" s="280">
        <f t="shared" si="41"/>
        <v>0</v>
      </c>
      <c r="GE35" s="280">
        <f t="shared" si="41"/>
        <v>0</v>
      </c>
      <c r="GF35" s="280">
        <f t="shared" si="41"/>
        <v>0</v>
      </c>
      <c r="GG35" s="280">
        <f t="shared" si="41"/>
        <v>0</v>
      </c>
      <c r="GH35" s="280">
        <f t="shared" si="41"/>
        <v>0</v>
      </c>
    </row>
    <row r="36" spans="1:190" ht="12.75">
      <c r="A36" s="281" t="s">
        <v>268</v>
      </c>
      <c r="B36" s="282"/>
      <c r="C36" s="282">
        <v>30</v>
      </c>
      <c r="D36" s="282"/>
      <c r="E36" s="282"/>
      <c r="F36" s="282"/>
      <c r="G36" s="282"/>
      <c r="H36" s="283"/>
      <c r="I36" s="282"/>
      <c r="J36" s="282"/>
      <c r="K36" s="282"/>
      <c r="L36" s="282"/>
      <c r="M36" s="282"/>
      <c r="N36" s="282"/>
      <c r="O36" s="283"/>
      <c r="P36" s="282"/>
      <c r="Q36" s="282"/>
      <c r="R36" s="282"/>
      <c r="S36" s="282"/>
      <c r="T36" s="282"/>
      <c r="U36" s="282"/>
      <c r="V36" s="283"/>
      <c r="W36" s="282"/>
      <c r="X36" s="282"/>
      <c r="Y36" s="282"/>
      <c r="Z36" s="282"/>
      <c r="AA36" s="282"/>
      <c r="AB36" s="282"/>
      <c r="AC36" s="283"/>
      <c r="AD36" s="282"/>
      <c r="AE36" s="282"/>
      <c r="AF36" s="282"/>
      <c r="AG36" s="282"/>
      <c r="AH36" s="282"/>
      <c r="AI36" s="282"/>
      <c r="AJ36" s="283"/>
      <c r="AK36" s="282"/>
      <c r="AL36" s="282"/>
      <c r="AM36" s="282"/>
      <c r="AN36" s="282"/>
      <c r="AO36" s="282"/>
      <c r="AP36" s="282"/>
      <c r="AQ36" s="283"/>
      <c r="AR36" s="282"/>
      <c r="AS36" s="282"/>
      <c r="AT36" s="282"/>
      <c r="AU36" s="282"/>
      <c r="AV36" s="282"/>
      <c r="AW36" s="282"/>
      <c r="AX36" s="283"/>
      <c r="AY36" s="282"/>
      <c r="AZ36" s="282"/>
      <c r="BA36" s="282"/>
      <c r="BB36" s="282"/>
      <c r="BC36" s="282"/>
      <c r="BD36" s="282"/>
      <c r="BE36" s="283"/>
      <c r="BF36" s="282"/>
      <c r="BG36" s="282"/>
      <c r="BH36" s="282"/>
      <c r="BI36" s="282"/>
      <c r="BJ36" s="282"/>
      <c r="BK36" s="282"/>
      <c r="BL36" s="283"/>
      <c r="BM36" s="282"/>
      <c r="BN36" s="282"/>
      <c r="BO36" s="282"/>
      <c r="BP36" s="282"/>
      <c r="BQ36" s="282"/>
      <c r="BR36" s="282"/>
      <c r="BS36" s="283"/>
      <c r="BT36" s="282"/>
      <c r="BU36" s="282"/>
      <c r="BV36" s="282"/>
      <c r="BW36" s="282"/>
      <c r="BX36" s="282"/>
      <c r="BY36" s="282"/>
      <c r="BZ36" s="283"/>
      <c r="CA36" s="282"/>
      <c r="CB36" s="282"/>
      <c r="CC36" s="282"/>
      <c r="CD36" s="282"/>
      <c r="CE36" s="282"/>
      <c r="CF36" s="282"/>
      <c r="CG36" s="283"/>
      <c r="CH36" s="282"/>
      <c r="CI36" s="282"/>
      <c r="CJ36" s="282"/>
      <c r="CK36" s="282"/>
      <c r="CL36" s="282"/>
      <c r="CM36" s="282"/>
      <c r="CN36" s="283"/>
      <c r="CO36" s="282"/>
      <c r="CP36" s="282"/>
      <c r="CQ36" s="282"/>
      <c r="CR36" s="282"/>
      <c r="CS36" s="282"/>
      <c r="CT36" s="282"/>
      <c r="CU36" s="283"/>
      <c r="CV36" s="282"/>
      <c r="CW36" s="282"/>
      <c r="CX36" s="282"/>
      <c r="CY36" s="282"/>
      <c r="CZ36" s="282"/>
      <c r="DA36" s="282"/>
      <c r="DB36" s="283"/>
      <c r="DC36" s="282"/>
      <c r="DD36" s="282"/>
      <c r="DE36" s="282"/>
      <c r="DF36" s="282"/>
      <c r="DG36" s="282"/>
      <c r="DH36" s="282"/>
      <c r="DI36" s="283"/>
      <c r="DJ36" s="282"/>
      <c r="DK36" s="282"/>
      <c r="DL36" s="282"/>
      <c r="DM36" s="282"/>
      <c r="DN36" s="282"/>
      <c r="DO36" s="282"/>
      <c r="DP36" s="283"/>
      <c r="DQ36" s="282"/>
      <c r="DR36" s="282"/>
      <c r="DS36" s="282"/>
      <c r="DT36" s="282"/>
      <c r="DU36" s="282"/>
      <c r="DV36" s="282"/>
      <c r="DW36" s="283"/>
      <c r="DX36" s="282"/>
      <c r="DY36" s="282"/>
      <c r="DZ36" s="282"/>
      <c r="EA36" s="282"/>
      <c r="EB36" s="282"/>
      <c r="EC36" s="282"/>
      <c r="ED36" s="283"/>
      <c r="EE36" s="282"/>
      <c r="EF36" s="282"/>
      <c r="EG36" s="282"/>
      <c r="EH36" s="282"/>
      <c r="EI36" s="282"/>
      <c r="EJ36" s="282"/>
      <c r="EK36" s="283"/>
      <c r="EL36" s="282"/>
      <c r="EM36" s="282"/>
      <c r="EN36" s="282"/>
      <c r="EO36" s="282"/>
      <c r="EP36" s="282"/>
      <c r="EQ36" s="282"/>
      <c r="ER36" s="283"/>
      <c r="ES36" s="282"/>
      <c r="ET36" s="282"/>
      <c r="EU36" s="282"/>
      <c r="EV36" s="282"/>
      <c r="EW36" s="282"/>
      <c r="EX36" s="282"/>
      <c r="EY36" s="283"/>
      <c r="EZ36" s="282"/>
      <c r="FA36" s="282"/>
      <c r="FB36" s="282"/>
      <c r="FC36" s="282"/>
      <c r="FD36" s="282"/>
      <c r="FE36" s="282"/>
      <c r="FF36" s="283"/>
      <c r="FG36" s="282"/>
      <c r="FH36" s="282"/>
      <c r="FI36" s="282"/>
      <c r="FJ36" s="282"/>
      <c r="FK36" s="282"/>
      <c r="FL36" s="282"/>
      <c r="FM36" s="283"/>
      <c r="FN36" s="282"/>
      <c r="FO36" s="282"/>
      <c r="FP36" s="282"/>
      <c r="FQ36" s="282"/>
      <c r="FR36" s="282"/>
      <c r="FS36" s="282"/>
      <c r="FT36" s="283"/>
      <c r="FU36" s="282"/>
      <c r="FV36" s="282"/>
      <c r="FW36" s="282"/>
      <c r="FX36" s="282"/>
      <c r="FY36" s="282"/>
      <c r="FZ36" s="282"/>
      <c r="GA36" s="283"/>
      <c r="GB36" s="282"/>
      <c r="GC36" s="282"/>
      <c r="GD36" s="282"/>
      <c r="GE36" s="282"/>
      <c r="GF36" s="282"/>
      <c r="GG36" s="282"/>
      <c r="GH36" s="283"/>
    </row>
    <row r="37" spans="1:190" ht="12.75">
      <c r="A37" s="284" t="s">
        <v>269</v>
      </c>
      <c r="B37" s="270">
        <v>10</v>
      </c>
      <c r="C37" s="270"/>
      <c r="D37" s="270">
        <v>10</v>
      </c>
      <c r="E37" s="270"/>
      <c r="F37" s="270"/>
      <c r="G37" s="270"/>
      <c r="H37" s="271"/>
      <c r="I37" s="270"/>
      <c r="J37" s="270"/>
      <c r="K37" s="270"/>
      <c r="L37" s="270"/>
      <c r="M37" s="270"/>
      <c r="N37" s="270"/>
      <c r="O37" s="271"/>
      <c r="P37" s="270"/>
      <c r="Q37" s="270"/>
      <c r="R37" s="270"/>
      <c r="S37" s="270"/>
      <c r="T37" s="270"/>
      <c r="U37" s="270"/>
      <c r="V37" s="271"/>
      <c r="W37" s="270"/>
      <c r="X37" s="270"/>
      <c r="Y37" s="270"/>
      <c r="Z37" s="270"/>
      <c r="AA37" s="270"/>
      <c r="AB37" s="270"/>
      <c r="AC37" s="271"/>
      <c r="AD37" s="270"/>
      <c r="AE37" s="270"/>
      <c r="AF37" s="270"/>
      <c r="AG37" s="270"/>
      <c r="AH37" s="270"/>
      <c r="AI37" s="270"/>
      <c r="AJ37" s="271"/>
      <c r="AK37" s="270"/>
      <c r="AL37" s="270"/>
      <c r="AM37" s="270"/>
      <c r="AN37" s="270"/>
      <c r="AO37" s="270"/>
      <c r="AP37" s="270"/>
      <c r="AQ37" s="271"/>
      <c r="AR37" s="270"/>
      <c r="AS37" s="270"/>
      <c r="AT37" s="270"/>
      <c r="AU37" s="270"/>
      <c r="AV37" s="270"/>
      <c r="AW37" s="270"/>
      <c r="AX37" s="271"/>
      <c r="AY37" s="270"/>
      <c r="AZ37" s="270"/>
      <c r="BA37" s="270"/>
      <c r="BB37" s="270"/>
      <c r="BC37" s="270"/>
      <c r="BD37" s="270"/>
      <c r="BE37" s="271"/>
      <c r="BF37" s="270"/>
      <c r="BG37" s="270"/>
      <c r="BH37" s="270"/>
      <c r="BI37" s="270"/>
      <c r="BJ37" s="270"/>
      <c r="BK37" s="270"/>
      <c r="BL37" s="271"/>
      <c r="BM37" s="270"/>
      <c r="BN37" s="270"/>
      <c r="BO37" s="270"/>
      <c r="BP37" s="270"/>
      <c r="BQ37" s="270"/>
      <c r="BR37" s="270"/>
      <c r="BS37" s="271"/>
      <c r="BT37" s="270"/>
      <c r="BU37" s="270"/>
      <c r="BV37" s="270"/>
      <c r="BW37" s="270"/>
      <c r="BX37" s="270"/>
      <c r="BY37" s="270"/>
      <c r="BZ37" s="271"/>
      <c r="CA37" s="270"/>
      <c r="CB37" s="270"/>
      <c r="CC37" s="270"/>
      <c r="CD37" s="270"/>
      <c r="CE37" s="270"/>
      <c r="CF37" s="270"/>
      <c r="CG37" s="271"/>
      <c r="CH37" s="270"/>
      <c r="CI37" s="270"/>
      <c r="CJ37" s="270"/>
      <c r="CK37" s="270"/>
      <c r="CL37" s="270"/>
      <c r="CM37" s="270"/>
      <c r="CN37" s="271"/>
      <c r="CO37" s="270"/>
      <c r="CP37" s="270"/>
      <c r="CQ37" s="270"/>
      <c r="CR37" s="270"/>
      <c r="CS37" s="270"/>
      <c r="CT37" s="270"/>
      <c r="CU37" s="271"/>
      <c r="CV37" s="270"/>
      <c r="CW37" s="270"/>
      <c r="CX37" s="270"/>
      <c r="CY37" s="270"/>
      <c r="CZ37" s="270"/>
      <c r="DA37" s="270"/>
      <c r="DB37" s="271"/>
      <c r="DC37" s="270"/>
      <c r="DD37" s="270"/>
      <c r="DE37" s="270"/>
      <c r="DF37" s="270"/>
      <c r="DG37" s="270"/>
      <c r="DH37" s="270"/>
      <c r="DI37" s="271"/>
      <c r="DJ37" s="270"/>
      <c r="DK37" s="270"/>
      <c r="DL37" s="270"/>
      <c r="DM37" s="270"/>
      <c r="DN37" s="270"/>
      <c r="DO37" s="270"/>
      <c r="DP37" s="271"/>
      <c r="DQ37" s="270"/>
      <c r="DR37" s="270"/>
      <c r="DS37" s="270"/>
      <c r="DT37" s="270"/>
      <c r="DU37" s="270"/>
      <c r="DV37" s="270"/>
      <c r="DW37" s="271"/>
      <c r="DX37" s="270"/>
      <c r="DY37" s="270"/>
      <c r="DZ37" s="270"/>
      <c r="EA37" s="270"/>
      <c r="EB37" s="270"/>
      <c r="EC37" s="270"/>
      <c r="ED37" s="271"/>
      <c r="EE37" s="270"/>
      <c r="EF37" s="270"/>
      <c r="EG37" s="270"/>
      <c r="EH37" s="270"/>
      <c r="EI37" s="270"/>
      <c r="EJ37" s="270"/>
      <c r="EK37" s="271"/>
      <c r="EL37" s="270"/>
      <c r="EM37" s="270"/>
      <c r="EN37" s="270"/>
      <c r="EO37" s="270"/>
      <c r="EP37" s="270"/>
      <c r="EQ37" s="270"/>
      <c r="ER37" s="271"/>
      <c r="ES37" s="270"/>
      <c r="ET37" s="270"/>
      <c r="EU37" s="270"/>
      <c r="EV37" s="270"/>
      <c r="EW37" s="270"/>
      <c r="EX37" s="270"/>
      <c r="EY37" s="271"/>
      <c r="EZ37" s="270"/>
      <c r="FA37" s="270"/>
      <c r="FB37" s="270"/>
      <c r="FC37" s="270"/>
      <c r="FD37" s="270"/>
      <c r="FE37" s="270"/>
      <c r="FF37" s="271"/>
      <c r="FG37" s="270"/>
      <c r="FH37" s="270"/>
      <c r="FI37" s="270"/>
      <c r="FJ37" s="270"/>
      <c r="FK37" s="270"/>
      <c r="FL37" s="270"/>
      <c r="FM37" s="271"/>
      <c r="FN37" s="270"/>
      <c r="FO37" s="270"/>
      <c r="FP37" s="270"/>
      <c r="FQ37" s="270"/>
      <c r="FR37" s="270"/>
      <c r="FS37" s="270"/>
      <c r="FT37" s="271"/>
      <c r="FU37" s="270"/>
      <c r="FV37" s="270"/>
      <c r="FW37" s="270"/>
      <c r="FX37" s="270"/>
      <c r="FY37" s="270"/>
      <c r="FZ37" s="270"/>
      <c r="GA37" s="271"/>
      <c r="GB37" s="270"/>
      <c r="GC37" s="270"/>
      <c r="GD37" s="270"/>
      <c r="GE37" s="270"/>
      <c r="GF37" s="270"/>
      <c r="GG37" s="270"/>
      <c r="GH37" s="271"/>
    </row>
    <row r="38" spans="1:190" ht="12.75">
      <c r="A38" s="284" t="s">
        <v>270</v>
      </c>
      <c r="B38" s="270"/>
      <c r="C38" s="270"/>
      <c r="D38" s="270"/>
      <c r="E38" s="270"/>
      <c r="F38" s="270"/>
      <c r="G38" s="270"/>
      <c r="H38" s="271"/>
      <c r="I38" s="270"/>
      <c r="J38" s="270"/>
      <c r="K38" s="270"/>
      <c r="L38" s="270"/>
      <c r="M38" s="270"/>
      <c r="N38" s="270"/>
      <c r="O38" s="271"/>
      <c r="P38" s="270"/>
      <c r="Q38" s="270"/>
      <c r="R38" s="270"/>
      <c r="S38" s="270"/>
      <c r="T38" s="270"/>
      <c r="U38" s="270"/>
      <c r="V38" s="271"/>
      <c r="W38" s="270"/>
      <c r="X38" s="270"/>
      <c r="Y38" s="270"/>
      <c r="Z38" s="270"/>
      <c r="AA38" s="270"/>
      <c r="AB38" s="270"/>
      <c r="AC38" s="271"/>
      <c r="AD38" s="270"/>
      <c r="AE38" s="270"/>
      <c r="AF38" s="270"/>
      <c r="AG38" s="270"/>
      <c r="AH38" s="270"/>
      <c r="AI38" s="270"/>
      <c r="AJ38" s="271"/>
      <c r="AK38" s="270"/>
      <c r="AL38" s="270"/>
      <c r="AM38" s="270"/>
      <c r="AN38" s="270"/>
      <c r="AO38" s="270"/>
      <c r="AP38" s="270"/>
      <c r="AQ38" s="271"/>
      <c r="AR38" s="270"/>
      <c r="AS38" s="270"/>
      <c r="AT38" s="270"/>
      <c r="AU38" s="270"/>
      <c r="AV38" s="270"/>
      <c r="AW38" s="270"/>
      <c r="AX38" s="271"/>
      <c r="AY38" s="270"/>
      <c r="AZ38" s="270"/>
      <c r="BA38" s="270"/>
      <c r="BB38" s="270"/>
      <c r="BC38" s="270"/>
      <c r="BD38" s="270"/>
      <c r="BE38" s="271"/>
      <c r="BF38" s="270"/>
      <c r="BG38" s="270"/>
      <c r="BH38" s="270"/>
      <c r="BI38" s="270"/>
      <c r="BJ38" s="270"/>
      <c r="BK38" s="270"/>
      <c r="BL38" s="271"/>
      <c r="BM38" s="270"/>
      <c r="BN38" s="270"/>
      <c r="BO38" s="270"/>
      <c r="BP38" s="270"/>
      <c r="BQ38" s="270"/>
      <c r="BR38" s="270"/>
      <c r="BS38" s="271"/>
      <c r="BT38" s="270"/>
      <c r="BU38" s="270"/>
      <c r="BV38" s="270"/>
      <c r="BW38" s="270"/>
      <c r="BX38" s="270"/>
      <c r="BY38" s="270"/>
      <c r="BZ38" s="271"/>
      <c r="CA38" s="270"/>
      <c r="CB38" s="270"/>
      <c r="CC38" s="270"/>
      <c r="CD38" s="270"/>
      <c r="CE38" s="270"/>
      <c r="CF38" s="270"/>
      <c r="CG38" s="271"/>
      <c r="CH38" s="270"/>
      <c r="CI38" s="270"/>
      <c r="CJ38" s="270"/>
      <c r="CK38" s="270"/>
      <c r="CL38" s="270"/>
      <c r="CM38" s="270"/>
      <c r="CN38" s="271"/>
      <c r="CO38" s="270"/>
      <c r="CP38" s="270"/>
      <c r="CQ38" s="270"/>
      <c r="CR38" s="270"/>
      <c r="CS38" s="270"/>
      <c r="CT38" s="270"/>
      <c r="CU38" s="271"/>
      <c r="CV38" s="270"/>
      <c r="CW38" s="270"/>
      <c r="CX38" s="270"/>
      <c r="CY38" s="270"/>
      <c r="CZ38" s="270"/>
      <c r="DA38" s="270"/>
      <c r="DB38" s="271"/>
      <c r="DC38" s="270"/>
      <c r="DD38" s="270"/>
      <c r="DE38" s="270"/>
      <c r="DF38" s="270"/>
      <c r="DG38" s="270"/>
      <c r="DH38" s="270"/>
      <c r="DI38" s="271"/>
      <c r="DJ38" s="270"/>
      <c r="DK38" s="270"/>
      <c r="DL38" s="270"/>
      <c r="DM38" s="270"/>
      <c r="DN38" s="270"/>
      <c r="DO38" s="270"/>
      <c r="DP38" s="271"/>
      <c r="DQ38" s="270"/>
      <c r="DR38" s="270"/>
      <c r="DS38" s="270"/>
      <c r="DT38" s="270"/>
      <c r="DU38" s="270"/>
      <c r="DV38" s="270"/>
      <c r="DW38" s="271"/>
      <c r="DX38" s="270"/>
      <c r="DY38" s="270"/>
      <c r="DZ38" s="270"/>
      <c r="EA38" s="270"/>
      <c r="EB38" s="270"/>
      <c r="EC38" s="270"/>
      <c r="ED38" s="271"/>
      <c r="EE38" s="270"/>
      <c r="EF38" s="270"/>
      <c r="EG38" s="270"/>
      <c r="EH38" s="270"/>
      <c r="EI38" s="270"/>
      <c r="EJ38" s="270"/>
      <c r="EK38" s="271"/>
      <c r="EL38" s="270"/>
      <c r="EM38" s="270"/>
      <c r="EN38" s="270"/>
      <c r="EO38" s="270"/>
      <c r="EP38" s="270"/>
      <c r="EQ38" s="270"/>
      <c r="ER38" s="271"/>
      <c r="ES38" s="270"/>
      <c r="ET38" s="270"/>
      <c r="EU38" s="270"/>
      <c r="EV38" s="270"/>
      <c r="EW38" s="270"/>
      <c r="EX38" s="270"/>
      <c r="EY38" s="271"/>
      <c r="EZ38" s="270"/>
      <c r="FA38" s="270"/>
      <c r="FB38" s="270"/>
      <c r="FC38" s="270"/>
      <c r="FD38" s="270"/>
      <c r="FE38" s="270"/>
      <c r="FF38" s="271"/>
      <c r="FG38" s="270"/>
      <c r="FH38" s="270"/>
      <c r="FI38" s="270"/>
      <c r="FJ38" s="270"/>
      <c r="FK38" s="270"/>
      <c r="FL38" s="270"/>
      <c r="FM38" s="271"/>
      <c r="FN38" s="270"/>
      <c r="FO38" s="270"/>
      <c r="FP38" s="270"/>
      <c r="FQ38" s="270"/>
      <c r="FR38" s="270"/>
      <c r="FS38" s="270"/>
      <c r="FT38" s="271"/>
      <c r="FU38" s="270"/>
      <c r="FV38" s="270"/>
      <c r="FW38" s="270"/>
      <c r="FX38" s="270"/>
      <c r="FY38" s="270"/>
      <c r="FZ38" s="270"/>
      <c r="GA38" s="271"/>
      <c r="GB38" s="270"/>
      <c r="GC38" s="270"/>
      <c r="GD38" s="270"/>
      <c r="GE38" s="270"/>
      <c r="GF38" s="270"/>
      <c r="GG38" s="270"/>
      <c r="GH38" s="271"/>
    </row>
    <row r="39" spans="1:190" ht="12.75">
      <c r="A39" s="263" t="s">
        <v>271</v>
      </c>
      <c r="B39" s="264"/>
      <c r="C39" s="264"/>
      <c r="D39" s="264"/>
      <c r="E39" s="264"/>
      <c r="F39" s="264"/>
      <c r="G39" s="264"/>
      <c r="H39" s="265"/>
      <c r="I39" s="264"/>
      <c r="J39" s="264"/>
      <c r="K39" s="264"/>
      <c r="L39" s="264"/>
      <c r="M39" s="264"/>
      <c r="N39" s="264"/>
      <c r="O39" s="265"/>
      <c r="P39" s="264"/>
      <c r="Q39" s="264"/>
      <c r="R39" s="264"/>
      <c r="S39" s="264"/>
      <c r="T39" s="264"/>
      <c r="U39" s="264"/>
      <c r="V39" s="265"/>
      <c r="W39" s="264"/>
      <c r="X39" s="264"/>
      <c r="Y39" s="264"/>
      <c r="Z39" s="264"/>
      <c r="AA39" s="264"/>
      <c r="AB39" s="264"/>
      <c r="AC39" s="265"/>
      <c r="AD39" s="264"/>
      <c r="AE39" s="264"/>
      <c r="AF39" s="264"/>
      <c r="AG39" s="264"/>
      <c r="AH39" s="264"/>
      <c r="AI39" s="264"/>
      <c r="AJ39" s="265"/>
      <c r="AK39" s="264"/>
      <c r="AL39" s="264"/>
      <c r="AM39" s="264"/>
      <c r="AN39" s="264"/>
      <c r="AO39" s="264"/>
      <c r="AP39" s="264"/>
      <c r="AQ39" s="265"/>
      <c r="AR39" s="264"/>
      <c r="AS39" s="264"/>
      <c r="AT39" s="264"/>
      <c r="AU39" s="264"/>
      <c r="AV39" s="264"/>
      <c r="AW39" s="264"/>
      <c r="AX39" s="265"/>
      <c r="AY39" s="264"/>
      <c r="AZ39" s="264"/>
      <c r="BA39" s="264"/>
      <c r="BB39" s="264"/>
      <c r="BC39" s="264"/>
      <c r="BD39" s="264"/>
      <c r="BE39" s="265"/>
      <c r="BF39" s="264"/>
      <c r="BG39" s="264"/>
      <c r="BH39" s="264"/>
      <c r="BI39" s="264"/>
      <c r="BJ39" s="264"/>
      <c r="BK39" s="264"/>
      <c r="BL39" s="265"/>
      <c r="BM39" s="264"/>
      <c r="BN39" s="264"/>
      <c r="BO39" s="264"/>
      <c r="BP39" s="264"/>
      <c r="BQ39" s="264"/>
      <c r="BR39" s="264"/>
      <c r="BS39" s="265"/>
      <c r="BT39" s="264"/>
      <c r="BU39" s="264"/>
      <c r="BV39" s="264"/>
      <c r="BW39" s="264"/>
      <c r="BX39" s="264"/>
      <c r="BY39" s="264"/>
      <c r="BZ39" s="265"/>
      <c r="CA39" s="264"/>
      <c r="CB39" s="264"/>
      <c r="CC39" s="264"/>
      <c r="CD39" s="264"/>
      <c r="CE39" s="264"/>
      <c r="CF39" s="264"/>
      <c r="CG39" s="265"/>
      <c r="CH39" s="264"/>
      <c r="CI39" s="264"/>
      <c r="CJ39" s="264"/>
      <c r="CK39" s="264"/>
      <c r="CL39" s="264"/>
      <c r="CM39" s="264"/>
      <c r="CN39" s="265"/>
      <c r="CO39" s="264"/>
      <c r="CP39" s="264"/>
      <c r="CQ39" s="264"/>
      <c r="CR39" s="264"/>
      <c r="CS39" s="264"/>
      <c r="CT39" s="264"/>
      <c r="CU39" s="265"/>
      <c r="CV39" s="264"/>
      <c r="CW39" s="264"/>
      <c r="CX39" s="264"/>
      <c r="CY39" s="264"/>
      <c r="CZ39" s="264"/>
      <c r="DA39" s="264"/>
      <c r="DB39" s="265"/>
      <c r="DC39" s="264"/>
      <c r="DD39" s="264"/>
      <c r="DE39" s="264"/>
      <c r="DF39" s="264"/>
      <c r="DG39" s="264"/>
      <c r="DH39" s="264"/>
      <c r="DI39" s="265"/>
      <c r="DJ39" s="264"/>
      <c r="DK39" s="264"/>
      <c r="DL39" s="264"/>
      <c r="DM39" s="264"/>
      <c r="DN39" s="264"/>
      <c r="DO39" s="264"/>
      <c r="DP39" s="265"/>
      <c r="DQ39" s="264"/>
      <c r="DR39" s="264"/>
      <c r="DS39" s="264"/>
      <c r="DT39" s="264"/>
      <c r="DU39" s="264"/>
      <c r="DV39" s="264"/>
      <c r="DW39" s="265"/>
      <c r="DX39" s="264"/>
      <c r="DY39" s="264"/>
      <c r="DZ39" s="264"/>
      <c r="EA39" s="264"/>
      <c r="EB39" s="264"/>
      <c r="EC39" s="264"/>
      <c r="ED39" s="265"/>
      <c r="EE39" s="264"/>
      <c r="EF39" s="264"/>
      <c r="EG39" s="264"/>
      <c r="EH39" s="264"/>
      <c r="EI39" s="264"/>
      <c r="EJ39" s="264"/>
      <c r="EK39" s="265"/>
      <c r="EL39" s="264"/>
      <c r="EM39" s="264"/>
      <c r="EN39" s="264"/>
      <c r="EO39" s="264"/>
      <c r="EP39" s="264"/>
      <c r="EQ39" s="264"/>
      <c r="ER39" s="265"/>
      <c r="ES39" s="264"/>
      <c r="ET39" s="264"/>
      <c r="EU39" s="264"/>
      <c r="EV39" s="264"/>
      <c r="EW39" s="264"/>
      <c r="EX39" s="264"/>
      <c r="EY39" s="265"/>
      <c r="EZ39" s="264"/>
      <c r="FA39" s="264"/>
      <c r="FB39" s="264"/>
      <c r="FC39" s="264"/>
      <c r="FD39" s="264"/>
      <c r="FE39" s="264"/>
      <c r="FF39" s="265"/>
      <c r="FG39" s="264"/>
      <c r="FH39" s="264"/>
      <c r="FI39" s="264"/>
      <c r="FJ39" s="264"/>
      <c r="FK39" s="264"/>
      <c r="FL39" s="264"/>
      <c r="FM39" s="265"/>
      <c r="FN39" s="264"/>
      <c r="FO39" s="264"/>
      <c r="FP39" s="264"/>
      <c r="FQ39" s="264"/>
      <c r="FR39" s="264"/>
      <c r="FS39" s="264"/>
      <c r="FT39" s="265"/>
      <c r="FU39" s="264"/>
      <c r="FV39" s="264"/>
      <c r="FW39" s="264"/>
      <c r="FX39" s="264"/>
      <c r="FY39" s="264"/>
      <c r="FZ39" s="264"/>
      <c r="GA39" s="265"/>
      <c r="GB39" s="264"/>
      <c r="GC39" s="264"/>
      <c r="GD39" s="264"/>
      <c r="GE39" s="264"/>
      <c r="GF39" s="264"/>
      <c r="GG39" s="264"/>
      <c r="GH39" s="265"/>
    </row>
    <row r="40" spans="1:190" ht="12.75">
      <c r="A40" s="285" t="s">
        <v>272</v>
      </c>
      <c r="B40" s="286"/>
      <c r="C40" s="287"/>
      <c r="D40" s="286"/>
      <c r="E40" s="287"/>
      <c r="F40" s="286"/>
      <c r="G40" s="287"/>
      <c r="H40" s="288"/>
      <c r="I40" s="286"/>
      <c r="J40" s="287"/>
      <c r="K40" s="286"/>
      <c r="L40" s="287"/>
      <c r="M40" s="286"/>
      <c r="N40" s="287"/>
      <c r="O40" s="288"/>
      <c r="P40" s="286"/>
      <c r="Q40" s="287"/>
      <c r="R40" s="286"/>
      <c r="S40" s="287"/>
      <c r="T40" s="286"/>
      <c r="U40" s="287"/>
      <c r="V40" s="288"/>
      <c r="W40" s="286"/>
      <c r="X40" s="287"/>
      <c r="Y40" s="286"/>
      <c r="Z40" s="287"/>
      <c r="AA40" s="286"/>
      <c r="AB40" s="287"/>
      <c r="AC40" s="288"/>
      <c r="AD40" s="286"/>
      <c r="AE40" s="287"/>
      <c r="AF40" s="286"/>
      <c r="AG40" s="287"/>
      <c r="AH40" s="286"/>
      <c r="AI40" s="287"/>
      <c r="AJ40" s="288"/>
      <c r="AK40" s="286"/>
      <c r="AL40" s="287"/>
      <c r="AM40" s="286"/>
      <c r="AN40" s="287"/>
      <c r="AO40" s="286"/>
      <c r="AP40" s="287"/>
      <c r="AQ40" s="288"/>
      <c r="AR40" s="286"/>
      <c r="AS40" s="287"/>
      <c r="AT40" s="286"/>
      <c r="AU40" s="287"/>
      <c r="AV40" s="286"/>
      <c r="AW40" s="287"/>
      <c r="AX40" s="288"/>
      <c r="AY40" s="286"/>
      <c r="AZ40" s="287"/>
      <c r="BA40" s="286"/>
      <c r="BB40" s="287"/>
      <c r="BC40" s="286"/>
      <c r="BD40" s="287"/>
      <c r="BE40" s="288"/>
      <c r="BF40" s="286"/>
      <c r="BG40" s="287"/>
      <c r="BH40" s="286"/>
      <c r="BI40" s="287"/>
      <c r="BJ40" s="286"/>
      <c r="BK40" s="287"/>
      <c r="BL40" s="288"/>
      <c r="BM40" s="286"/>
      <c r="BN40" s="287"/>
      <c r="BO40" s="286"/>
      <c r="BP40" s="287"/>
      <c r="BQ40" s="286"/>
      <c r="BR40" s="287"/>
      <c r="BS40" s="288"/>
      <c r="BT40" s="286"/>
      <c r="BU40" s="287"/>
      <c r="BV40" s="286"/>
      <c r="BW40" s="286"/>
      <c r="BX40" s="286"/>
      <c r="BY40" s="286"/>
      <c r="BZ40" s="288"/>
      <c r="CA40" s="286"/>
      <c r="CB40" s="287"/>
      <c r="CC40" s="286"/>
      <c r="CD40" s="287"/>
      <c r="CE40" s="286"/>
      <c r="CF40" s="287"/>
      <c r="CG40" s="288"/>
      <c r="CH40" s="286"/>
      <c r="CI40" s="287"/>
      <c r="CJ40" s="286"/>
      <c r="CK40" s="287"/>
      <c r="CL40" s="286"/>
      <c r="CM40" s="287"/>
      <c r="CN40" s="288"/>
      <c r="CO40" s="286"/>
      <c r="CP40" s="287"/>
      <c r="CQ40" s="286"/>
      <c r="CR40" s="287"/>
      <c r="CS40" s="286"/>
      <c r="CT40" s="287"/>
      <c r="CU40" s="288"/>
      <c r="CV40" s="286"/>
      <c r="CW40" s="287"/>
      <c r="CX40" s="286"/>
      <c r="CY40" s="287"/>
      <c r="CZ40" s="286"/>
      <c r="DA40" s="287"/>
      <c r="DB40" s="288"/>
      <c r="DC40" s="286"/>
      <c r="DD40" s="287"/>
      <c r="DE40" s="286"/>
      <c r="DF40" s="287"/>
      <c r="DG40" s="286"/>
      <c r="DH40" s="287"/>
      <c r="DI40" s="288"/>
      <c r="DJ40" s="286"/>
      <c r="DK40" s="287"/>
      <c r="DL40" s="286"/>
      <c r="DM40" s="286"/>
      <c r="DN40" s="286"/>
      <c r="DO40" s="287"/>
      <c r="DP40" s="287"/>
      <c r="DQ40" s="287"/>
      <c r="DR40" s="287"/>
      <c r="DS40" s="287"/>
      <c r="DT40" s="287"/>
      <c r="DU40" s="286"/>
      <c r="DV40" s="287"/>
      <c r="DW40" s="288"/>
      <c r="DX40" s="286"/>
      <c r="DY40" s="287"/>
      <c r="DZ40" s="286"/>
      <c r="EA40" s="287"/>
      <c r="EB40" s="286"/>
      <c r="EC40" s="287"/>
      <c r="ED40" s="288"/>
      <c r="EE40" s="286"/>
      <c r="EF40" s="287"/>
      <c r="EG40" s="286"/>
      <c r="EH40" s="287"/>
      <c r="EI40" s="286"/>
      <c r="EJ40" s="287"/>
      <c r="EK40" s="288"/>
      <c r="EL40" s="286"/>
      <c r="EM40" s="287"/>
      <c r="EN40" s="286"/>
      <c r="EO40" s="286"/>
      <c r="EP40" s="286"/>
      <c r="EQ40" s="287"/>
      <c r="ER40" s="288"/>
      <c r="ES40" s="286"/>
      <c r="ET40" s="287"/>
      <c r="EU40" s="286"/>
      <c r="EV40" s="287"/>
      <c r="EW40" s="286"/>
      <c r="EX40" s="287"/>
      <c r="EY40" s="288"/>
      <c r="EZ40" s="286"/>
      <c r="FA40" s="287"/>
      <c r="FB40" s="286"/>
      <c r="FC40" s="287"/>
      <c r="FD40" s="286"/>
      <c r="FE40" s="287"/>
      <c r="FF40" s="288"/>
      <c r="FG40" s="286"/>
      <c r="FH40" s="287"/>
      <c r="FI40" s="286"/>
      <c r="FJ40" s="287"/>
      <c r="FK40" s="286"/>
      <c r="FL40" s="287"/>
      <c r="FM40" s="288"/>
      <c r="FN40" s="288"/>
      <c r="FO40" s="288"/>
      <c r="FP40" s="288"/>
      <c r="FQ40" s="288"/>
      <c r="FR40" s="287"/>
      <c r="FS40" s="287"/>
      <c r="FT40" s="288"/>
      <c r="FU40" s="286"/>
      <c r="FV40" s="287"/>
      <c r="FW40" s="286"/>
      <c r="FX40" s="287"/>
      <c r="FY40" s="286"/>
      <c r="FZ40" s="287"/>
      <c r="GA40" s="288"/>
      <c r="GB40" s="286"/>
      <c r="GC40" s="287"/>
      <c r="GD40" s="286"/>
      <c r="GE40" s="287"/>
      <c r="GF40" s="286"/>
      <c r="GG40" s="287"/>
      <c r="GH40" s="288"/>
    </row>
    <row r="41" spans="1:190" ht="12.75">
      <c r="A41" s="289" t="s">
        <v>273</v>
      </c>
      <c r="B41" s="290"/>
      <c r="C41" s="291"/>
      <c r="D41" s="290"/>
      <c r="E41" s="291"/>
      <c r="F41" s="290"/>
      <c r="G41" s="290"/>
      <c r="H41" s="290"/>
      <c r="I41" s="290"/>
      <c r="J41" s="290"/>
      <c r="K41" s="290"/>
      <c r="L41" s="291"/>
      <c r="M41" s="290"/>
      <c r="N41" s="291"/>
      <c r="O41" s="292"/>
      <c r="P41" s="290"/>
      <c r="Q41" s="292"/>
      <c r="R41" s="290"/>
      <c r="S41" s="292"/>
      <c r="T41" s="290"/>
      <c r="U41" s="291"/>
      <c r="V41" s="292"/>
      <c r="W41" s="290"/>
      <c r="X41" s="291"/>
      <c r="Y41" s="290"/>
      <c r="Z41" s="291"/>
      <c r="AA41" s="290"/>
      <c r="AB41" s="291"/>
      <c r="AC41" s="292"/>
      <c r="AD41" s="290"/>
      <c r="AE41" s="291"/>
      <c r="AF41" s="290"/>
      <c r="AG41" s="291"/>
      <c r="AH41" s="290"/>
      <c r="AI41" s="291"/>
      <c r="AJ41" s="292"/>
      <c r="AK41" s="290"/>
      <c r="AL41" s="291"/>
      <c r="AM41" s="290"/>
      <c r="AN41" s="291"/>
      <c r="AO41" s="290"/>
      <c r="AP41" s="291"/>
      <c r="AQ41" s="292"/>
      <c r="AR41" s="290"/>
      <c r="AS41" s="291"/>
      <c r="AT41" s="290"/>
      <c r="AU41" s="291"/>
      <c r="AV41" s="290"/>
      <c r="AW41" s="291"/>
      <c r="AX41" s="292"/>
      <c r="AY41" s="290"/>
      <c r="AZ41" s="291"/>
      <c r="BA41" s="290"/>
      <c r="BB41" s="291"/>
      <c r="BC41" s="290"/>
      <c r="BD41" s="291"/>
      <c r="BE41" s="292"/>
      <c r="BF41" s="290"/>
      <c r="BG41" s="291"/>
      <c r="BH41" s="293"/>
      <c r="BI41" s="291"/>
      <c r="BJ41" s="290"/>
      <c r="BK41" s="291"/>
      <c r="BL41" s="292"/>
      <c r="BM41" s="290"/>
      <c r="BN41" s="291"/>
      <c r="BO41" s="290"/>
      <c r="BP41" s="291"/>
      <c r="BQ41" s="290"/>
      <c r="BR41" s="291"/>
      <c r="BS41" s="292"/>
      <c r="BT41" s="290"/>
      <c r="BU41" s="291"/>
      <c r="BV41" s="290"/>
      <c r="BW41" s="291"/>
      <c r="BX41" s="290"/>
      <c r="BY41" s="291"/>
      <c r="BZ41" s="292"/>
      <c r="CA41" s="290"/>
      <c r="CB41" s="291"/>
      <c r="CC41" s="290"/>
      <c r="CD41" s="291"/>
      <c r="CE41" s="290"/>
      <c r="CF41" s="291"/>
      <c r="CG41" s="292"/>
      <c r="CH41" s="290"/>
      <c r="CI41" s="291"/>
      <c r="CJ41" s="290"/>
      <c r="CK41" s="291"/>
      <c r="CL41" s="290"/>
      <c r="CM41" s="291"/>
      <c r="CN41" s="292"/>
      <c r="CO41" s="290"/>
      <c r="CP41" s="291"/>
      <c r="CQ41" s="290"/>
      <c r="CR41" s="291"/>
      <c r="CS41" s="290"/>
      <c r="CT41" s="291"/>
      <c r="CU41" s="292"/>
      <c r="CV41" s="290"/>
      <c r="CW41" s="291"/>
      <c r="CX41" s="290"/>
      <c r="CY41" s="291"/>
      <c r="CZ41" s="290"/>
      <c r="DA41" s="291"/>
      <c r="DB41" s="292"/>
      <c r="DC41" s="290"/>
      <c r="DD41" s="291"/>
      <c r="DE41" s="290"/>
      <c r="DF41" s="291"/>
      <c r="DG41" s="292"/>
      <c r="DH41" s="292"/>
      <c r="DI41" s="292"/>
      <c r="DJ41" s="290"/>
      <c r="DK41" s="291"/>
      <c r="DL41" s="294"/>
      <c r="DM41" s="291"/>
      <c r="DN41" s="290"/>
      <c r="DO41" s="291"/>
      <c r="DP41" s="292"/>
      <c r="DQ41" s="290"/>
      <c r="DR41" s="291"/>
      <c r="DS41" s="290"/>
      <c r="DT41" s="291"/>
      <c r="DU41" s="290"/>
      <c r="DV41" s="291"/>
      <c r="DW41" s="292"/>
      <c r="DX41" s="290"/>
      <c r="DY41" s="291"/>
      <c r="DZ41" s="290"/>
      <c r="EA41" s="291"/>
      <c r="EB41" s="290"/>
      <c r="EC41" s="291"/>
      <c r="ED41" s="292"/>
      <c r="EE41" s="290"/>
      <c r="EF41" s="291"/>
      <c r="EG41" s="290"/>
      <c r="EH41" s="291"/>
      <c r="EI41" s="290"/>
      <c r="EJ41" s="291"/>
      <c r="EK41" s="292"/>
      <c r="EL41" s="290"/>
      <c r="EM41" s="291"/>
      <c r="EN41" s="290"/>
      <c r="EO41" s="291"/>
      <c r="EP41" s="290"/>
      <c r="EQ41" s="291"/>
      <c r="ER41" s="292"/>
      <c r="ES41" s="290"/>
      <c r="ET41" s="291"/>
      <c r="EU41" s="290"/>
      <c r="EV41" s="291"/>
      <c r="EW41" s="290"/>
      <c r="EX41" s="291"/>
      <c r="EY41" s="292"/>
      <c r="EZ41" s="290"/>
      <c r="FA41" s="291"/>
      <c r="FB41" s="290"/>
      <c r="FC41" s="291"/>
      <c r="FD41" s="290"/>
      <c r="FE41" s="291"/>
      <c r="FF41" s="292"/>
      <c r="FG41" s="290"/>
      <c r="FH41" s="291"/>
      <c r="FI41" s="290"/>
      <c r="FJ41" s="291"/>
      <c r="FK41" s="290"/>
      <c r="FL41" s="291"/>
      <c r="FM41" s="291"/>
      <c r="FN41" s="290"/>
      <c r="FO41" s="291"/>
      <c r="FP41" s="291"/>
      <c r="FQ41" s="291"/>
      <c r="FR41" s="291"/>
      <c r="FS41" s="291"/>
      <c r="FT41" s="292"/>
      <c r="FU41" s="290"/>
      <c r="FV41" s="290"/>
      <c r="FW41" s="290"/>
      <c r="FX41" s="290"/>
      <c r="FY41" s="290"/>
      <c r="FZ41" s="290"/>
      <c r="GA41" s="290"/>
      <c r="GB41" s="290"/>
      <c r="GC41" s="291"/>
      <c r="GD41" s="290"/>
      <c r="GE41" s="291"/>
      <c r="GF41" s="290"/>
      <c r="GG41" s="291"/>
      <c r="GH41" s="292"/>
    </row>
    <row r="42" s="295" customFormat="1" ht="12.75"/>
    <row r="43" spans="1:185" s="295" customFormat="1" ht="12.75">
      <c r="A43" s="296" t="s">
        <v>274</v>
      </c>
      <c r="B43" s="297" t="s">
        <v>275</v>
      </c>
      <c r="C43" s="298">
        <f>B4</f>
        <v>1</v>
      </c>
      <c r="I43" s="297" t="s">
        <v>275</v>
      </c>
      <c r="J43" s="298">
        <f>I4</f>
        <v>2</v>
      </c>
      <c r="P43" s="297" t="s">
        <v>275</v>
      </c>
      <c r="Q43" s="298">
        <f>P4</f>
        <v>3</v>
      </c>
      <c r="W43" s="297" t="s">
        <v>275</v>
      </c>
      <c r="X43" s="298">
        <f>W4</f>
        <v>4</v>
      </c>
      <c r="AD43" s="297" t="s">
        <v>275</v>
      </c>
      <c r="AE43" s="298">
        <f>AD4</f>
        <v>5</v>
      </c>
      <c r="AK43" s="297" t="s">
        <v>275</v>
      </c>
      <c r="AL43" s="298">
        <f>AK4</f>
        <v>6</v>
      </c>
      <c r="AR43" s="297" t="s">
        <v>275</v>
      </c>
      <c r="AS43" s="298">
        <f>AR4</f>
        <v>7</v>
      </c>
      <c r="AY43" s="297" t="s">
        <v>275</v>
      </c>
      <c r="AZ43" s="298">
        <f>AY4</f>
        <v>8</v>
      </c>
      <c r="BF43" s="297" t="s">
        <v>275</v>
      </c>
      <c r="BG43" s="298">
        <f>BF4</f>
        <v>9</v>
      </c>
      <c r="BM43" s="297" t="s">
        <v>275</v>
      </c>
      <c r="BN43" s="298">
        <f>BM4</f>
        <v>10</v>
      </c>
      <c r="BT43" s="297" t="s">
        <v>275</v>
      </c>
      <c r="BU43" s="298">
        <f>BT4</f>
        <v>11</v>
      </c>
      <c r="CA43" s="297" t="s">
        <v>275</v>
      </c>
      <c r="CB43" s="298">
        <f>CA4</f>
        <v>12</v>
      </c>
      <c r="CH43" s="297" t="s">
        <v>275</v>
      </c>
      <c r="CI43" s="298">
        <f>CH4</f>
        <v>13</v>
      </c>
      <c r="CO43" s="297" t="s">
        <v>275</v>
      </c>
      <c r="CP43" s="298">
        <f>CO4</f>
        <v>14</v>
      </c>
      <c r="CV43" s="297" t="s">
        <v>275</v>
      </c>
      <c r="CW43" s="298">
        <f>CV4</f>
        <v>15</v>
      </c>
      <c r="DC43" s="297" t="s">
        <v>275</v>
      </c>
      <c r="DD43" s="298">
        <f>DC4</f>
        <v>16</v>
      </c>
      <c r="DJ43" s="297" t="s">
        <v>275</v>
      </c>
      <c r="DK43" s="298">
        <f>DJ4</f>
        <v>17</v>
      </c>
      <c r="DQ43" s="297" t="s">
        <v>275</v>
      </c>
      <c r="DR43" s="298">
        <f>DQ4</f>
        <v>18</v>
      </c>
      <c r="DX43" s="297" t="s">
        <v>275</v>
      </c>
      <c r="DY43" s="298">
        <f>DX4</f>
        <v>19</v>
      </c>
      <c r="EE43" s="297" t="s">
        <v>275</v>
      </c>
      <c r="EF43" s="298">
        <f>EE4</f>
        <v>20</v>
      </c>
      <c r="EL43" s="297" t="s">
        <v>275</v>
      </c>
      <c r="EM43" s="298">
        <f>EL4</f>
        <v>21</v>
      </c>
      <c r="ES43" s="297" t="s">
        <v>275</v>
      </c>
      <c r="ET43" s="298">
        <f>ES4</f>
        <v>22</v>
      </c>
      <c r="EZ43" s="297" t="s">
        <v>275</v>
      </c>
      <c r="FA43" s="298">
        <f>EZ4</f>
        <v>23</v>
      </c>
      <c r="FG43" s="297" t="s">
        <v>275</v>
      </c>
      <c r="FH43" s="298">
        <f>FG4</f>
        <v>24</v>
      </c>
      <c r="FN43" s="297" t="s">
        <v>275</v>
      </c>
      <c r="FO43" s="298">
        <f>FN4</f>
        <v>25</v>
      </c>
      <c r="FU43" s="297" t="s">
        <v>275</v>
      </c>
      <c r="FV43" s="298">
        <f>FU4</f>
        <v>26</v>
      </c>
      <c r="GB43" s="297" t="s">
        <v>275</v>
      </c>
      <c r="GC43" s="298">
        <f>GB4</f>
        <v>27</v>
      </c>
    </row>
    <row r="44" spans="1:185" s="295" customFormat="1" ht="12.75">
      <c r="A44" s="299"/>
      <c r="B44" s="300" t="s">
        <v>43</v>
      </c>
      <c r="C44" s="301" t="s">
        <v>276</v>
      </c>
      <c r="I44" s="300" t="s">
        <v>43</v>
      </c>
      <c r="J44" s="301" t="s">
        <v>276</v>
      </c>
      <c r="P44" s="300" t="s">
        <v>43</v>
      </c>
      <c r="Q44" s="301" t="s">
        <v>276</v>
      </c>
      <c r="W44" s="300" t="s">
        <v>43</v>
      </c>
      <c r="X44" s="301" t="s">
        <v>276</v>
      </c>
      <c r="AD44" s="300" t="s">
        <v>43</v>
      </c>
      <c r="AE44" s="301" t="s">
        <v>276</v>
      </c>
      <c r="AK44" s="300" t="s">
        <v>43</v>
      </c>
      <c r="AL44" s="301" t="s">
        <v>276</v>
      </c>
      <c r="AR44" s="300" t="s">
        <v>43</v>
      </c>
      <c r="AS44" s="301" t="s">
        <v>276</v>
      </c>
      <c r="AY44" s="300" t="s">
        <v>43</v>
      </c>
      <c r="AZ44" s="301" t="s">
        <v>276</v>
      </c>
      <c r="BF44" s="300" t="s">
        <v>43</v>
      </c>
      <c r="BG44" s="301" t="s">
        <v>276</v>
      </c>
      <c r="BM44" s="300" t="s">
        <v>43</v>
      </c>
      <c r="BN44" s="301" t="s">
        <v>276</v>
      </c>
      <c r="BT44" s="300" t="s">
        <v>43</v>
      </c>
      <c r="BU44" s="301" t="s">
        <v>276</v>
      </c>
      <c r="CA44" s="300" t="s">
        <v>43</v>
      </c>
      <c r="CB44" s="301" t="s">
        <v>276</v>
      </c>
      <c r="CH44" s="300" t="s">
        <v>43</v>
      </c>
      <c r="CI44" s="301" t="s">
        <v>276</v>
      </c>
      <c r="CO44" s="300" t="s">
        <v>43</v>
      </c>
      <c r="CP44" s="301" t="s">
        <v>276</v>
      </c>
      <c r="CV44" s="300" t="s">
        <v>43</v>
      </c>
      <c r="CW44" s="301" t="s">
        <v>276</v>
      </c>
      <c r="DC44" s="300" t="s">
        <v>43</v>
      </c>
      <c r="DD44" s="301" t="s">
        <v>276</v>
      </c>
      <c r="DJ44" s="300" t="s">
        <v>43</v>
      </c>
      <c r="DK44" s="301" t="s">
        <v>276</v>
      </c>
      <c r="DQ44" s="300" t="s">
        <v>43</v>
      </c>
      <c r="DR44" s="301" t="s">
        <v>276</v>
      </c>
      <c r="DX44" s="300" t="s">
        <v>43</v>
      </c>
      <c r="DY44" s="301" t="s">
        <v>276</v>
      </c>
      <c r="EE44" s="300" t="s">
        <v>43</v>
      </c>
      <c r="EF44" s="301" t="s">
        <v>276</v>
      </c>
      <c r="EL44" s="300" t="s">
        <v>43</v>
      </c>
      <c r="EM44" s="301" t="s">
        <v>276</v>
      </c>
      <c r="ES44" s="300" t="s">
        <v>43</v>
      </c>
      <c r="ET44" s="301" t="s">
        <v>276</v>
      </c>
      <c r="EZ44" s="300" t="s">
        <v>43</v>
      </c>
      <c r="FA44" s="301" t="s">
        <v>276</v>
      </c>
      <c r="FG44" s="300" t="s">
        <v>43</v>
      </c>
      <c r="FH44" s="301" t="s">
        <v>276</v>
      </c>
      <c r="FN44" s="300" t="s">
        <v>43</v>
      </c>
      <c r="FO44" s="301" t="s">
        <v>276</v>
      </c>
      <c r="FU44" s="300" t="s">
        <v>43</v>
      </c>
      <c r="FV44" s="301" t="s">
        <v>276</v>
      </c>
      <c r="GB44" s="300" t="s">
        <v>43</v>
      </c>
      <c r="GC44" s="301" t="s">
        <v>276</v>
      </c>
    </row>
    <row r="45" spans="1:190" ht="12.75">
      <c r="A45" s="302" t="s">
        <v>277</v>
      </c>
      <c r="B45" s="297">
        <f aca="true" t="shared" si="42" ref="B45:B51">SUM(B9:H9)</f>
        <v>2.3</v>
      </c>
      <c r="C45" s="303">
        <v>1</v>
      </c>
      <c r="D45" s="249"/>
      <c r="E45" s="249"/>
      <c r="F45" s="249"/>
      <c r="G45" s="249"/>
      <c r="H45" s="249"/>
      <c r="I45" s="297">
        <f aca="true" t="shared" si="43" ref="I45:I51">SUM(I9:O9)</f>
        <v>0</v>
      </c>
      <c r="J45" s="303">
        <v>1</v>
      </c>
      <c r="K45" s="249"/>
      <c r="L45" s="249"/>
      <c r="M45" s="249"/>
      <c r="N45" s="249"/>
      <c r="O45" s="249"/>
      <c r="P45" s="297">
        <f aca="true" t="shared" si="44" ref="P45:P51">SUM(P9:V9)</f>
        <v>0</v>
      </c>
      <c r="Q45" s="303">
        <v>1</v>
      </c>
      <c r="R45" s="249"/>
      <c r="S45" s="249"/>
      <c r="T45" s="249"/>
      <c r="U45" s="249"/>
      <c r="V45" s="249"/>
      <c r="W45" s="297">
        <f aca="true" t="shared" si="45" ref="W45:W51">SUM(W9:AC9)</f>
        <v>0</v>
      </c>
      <c r="X45" s="303">
        <v>1</v>
      </c>
      <c r="Y45" s="249"/>
      <c r="Z45" s="249"/>
      <c r="AA45" s="249"/>
      <c r="AB45" s="249"/>
      <c r="AC45" s="249"/>
      <c r="AD45" s="297">
        <f aca="true" t="shared" si="46" ref="AD45:AD51">SUM(AD9:AJ9)</f>
        <v>0</v>
      </c>
      <c r="AE45" s="303">
        <v>1</v>
      </c>
      <c r="AF45" s="249"/>
      <c r="AG45" s="249"/>
      <c r="AH45" s="249"/>
      <c r="AI45" s="249"/>
      <c r="AJ45" s="249"/>
      <c r="AK45" s="297">
        <f aca="true" t="shared" si="47" ref="AK45:AK51">SUM(AK9:AQ9)</f>
        <v>0</v>
      </c>
      <c r="AL45" s="303">
        <v>1</v>
      </c>
      <c r="AM45" s="249"/>
      <c r="AN45" s="249"/>
      <c r="AO45" s="249"/>
      <c r="AP45" s="249"/>
      <c r="AQ45" s="249"/>
      <c r="AR45" s="297">
        <f aca="true" t="shared" si="48" ref="AR45:AR51">SUM(AR9:AX9)</f>
        <v>0</v>
      </c>
      <c r="AS45" s="303">
        <v>1</v>
      </c>
      <c r="AT45" s="249"/>
      <c r="AU45" s="249"/>
      <c r="AV45" s="249"/>
      <c r="AW45" s="249"/>
      <c r="AX45" s="249"/>
      <c r="AY45" s="297">
        <f aca="true" t="shared" si="49" ref="AY45:AY51">SUM(AY9:BE9)</f>
        <v>0</v>
      </c>
      <c r="AZ45" s="303">
        <v>1</v>
      </c>
      <c r="BA45" s="249"/>
      <c r="BB45" s="249"/>
      <c r="BC45" s="249"/>
      <c r="BD45" s="249"/>
      <c r="BE45" s="249"/>
      <c r="BF45" s="297">
        <f aca="true" t="shared" si="50" ref="BF45:BF51">SUM(BF9:BL9)</f>
        <v>0</v>
      </c>
      <c r="BG45" s="303">
        <v>1</v>
      </c>
      <c r="BH45" s="249"/>
      <c r="BI45" s="249"/>
      <c r="BJ45" s="249"/>
      <c r="BK45" s="249"/>
      <c r="BL45" s="249"/>
      <c r="BM45" s="297">
        <f aca="true" t="shared" si="51" ref="BM45:BM51">SUM(BM9:BS9)</f>
        <v>0</v>
      </c>
      <c r="BN45" s="303">
        <v>1</v>
      </c>
      <c r="BO45" s="249"/>
      <c r="BP45" s="249"/>
      <c r="BQ45" s="249"/>
      <c r="BR45" s="249"/>
      <c r="BS45" s="249"/>
      <c r="BT45" s="297">
        <f aca="true" t="shared" si="52" ref="BT45:BT51">SUM(BT9:BZ9)</f>
        <v>0</v>
      </c>
      <c r="BU45" s="303">
        <v>1</v>
      </c>
      <c r="BV45" s="249"/>
      <c r="BW45" s="249"/>
      <c r="BX45" s="249"/>
      <c r="BY45" s="249"/>
      <c r="BZ45" s="249"/>
      <c r="CA45" s="297">
        <f aca="true" t="shared" si="53" ref="CA45:CA51">SUM(CA9:CG9)</f>
        <v>0</v>
      </c>
      <c r="CB45" s="303">
        <v>1</v>
      </c>
      <c r="CC45" s="249"/>
      <c r="CD45" s="249"/>
      <c r="CE45" s="249"/>
      <c r="CF45" s="249"/>
      <c r="CG45" s="249"/>
      <c r="CH45" s="297">
        <f aca="true" t="shared" si="54" ref="CH45:CH51">SUM(CH9:CN9)</f>
        <v>0</v>
      </c>
      <c r="CI45" s="303">
        <v>1</v>
      </c>
      <c r="CJ45" s="249"/>
      <c r="CK45" s="249"/>
      <c r="CL45" s="249"/>
      <c r="CM45" s="249"/>
      <c r="CN45" s="249"/>
      <c r="CO45" s="297">
        <f aca="true" t="shared" si="55" ref="CO45:CO51">SUM(CO9:CU9)</f>
        <v>0</v>
      </c>
      <c r="CP45" s="303">
        <v>1</v>
      </c>
      <c r="CQ45" s="249"/>
      <c r="CR45" s="249"/>
      <c r="CS45" s="249"/>
      <c r="CT45" s="249"/>
      <c r="CU45" s="249"/>
      <c r="CV45" s="297">
        <f aca="true" t="shared" si="56" ref="CV45:CV51">SUM(CV9:DB9)</f>
        <v>0</v>
      </c>
      <c r="CW45" s="303">
        <v>1</v>
      </c>
      <c r="CX45" s="249"/>
      <c r="CY45" s="249"/>
      <c r="CZ45" s="249"/>
      <c r="DA45" s="249"/>
      <c r="DB45" s="249"/>
      <c r="DC45" s="297">
        <f>SUM(DC9:DI9)</f>
        <v>0</v>
      </c>
      <c r="DD45" s="303">
        <v>1</v>
      </c>
      <c r="DE45" s="249"/>
      <c r="DF45" s="249"/>
      <c r="DG45" s="249"/>
      <c r="DH45" s="249"/>
      <c r="DI45" s="249"/>
      <c r="DJ45" s="297">
        <f aca="true" t="shared" si="57" ref="DJ45:DJ51">SUM(DJ9:DP9)</f>
        <v>0</v>
      </c>
      <c r="DK45" s="303">
        <v>1</v>
      </c>
      <c r="DL45" s="249"/>
      <c r="DM45" s="249"/>
      <c r="DN45" s="249"/>
      <c r="DO45" s="249"/>
      <c r="DP45" s="249"/>
      <c r="DQ45" s="297">
        <f aca="true" t="shared" si="58" ref="DQ45:DQ51">SUM(DQ9:DW9)</f>
        <v>0</v>
      </c>
      <c r="DR45" s="303">
        <v>1</v>
      </c>
      <c r="DS45" s="249"/>
      <c r="DT45" s="249"/>
      <c r="DU45" s="249"/>
      <c r="DV45" s="249"/>
      <c r="DW45" s="249"/>
      <c r="DX45" s="297">
        <f aca="true" t="shared" si="59" ref="DX45:DX51">SUM(DX9:ED9)</f>
        <v>0</v>
      </c>
      <c r="DY45" s="303">
        <v>1</v>
      </c>
      <c r="DZ45" s="249"/>
      <c r="EA45" s="249"/>
      <c r="EB45" s="249"/>
      <c r="EC45" s="249"/>
      <c r="ED45" s="249"/>
      <c r="EE45" s="297">
        <f aca="true" t="shared" si="60" ref="EE45:EE51">SUM(EE9:EK9)</f>
        <v>0</v>
      </c>
      <c r="EF45" s="303">
        <v>1</v>
      </c>
      <c r="EG45" s="249"/>
      <c r="EH45" s="249"/>
      <c r="EI45" s="249"/>
      <c r="EJ45" s="249"/>
      <c r="EK45" s="249"/>
      <c r="EL45" s="297">
        <f aca="true" t="shared" si="61" ref="EL45:EL51">SUM(EL9:ER9)</f>
        <v>0</v>
      </c>
      <c r="EM45" s="303">
        <v>1</v>
      </c>
      <c r="EN45" s="249"/>
      <c r="EO45" s="249"/>
      <c r="EP45" s="249"/>
      <c r="EQ45" s="249"/>
      <c r="ER45" s="249"/>
      <c r="ES45" s="297">
        <f aca="true" t="shared" si="62" ref="ES45:ES51">SUM(ES9:EY9)</f>
        <v>0</v>
      </c>
      <c r="ET45" s="303">
        <v>1</v>
      </c>
      <c r="EU45" s="249"/>
      <c r="EV45" s="249"/>
      <c r="EW45" s="249"/>
      <c r="EX45" s="249"/>
      <c r="EY45" s="249"/>
      <c r="EZ45" s="297">
        <f aca="true" t="shared" si="63" ref="EZ45:EZ51">SUM(EZ9:FF9)</f>
        <v>0</v>
      </c>
      <c r="FA45" s="303">
        <v>1</v>
      </c>
      <c r="FB45" s="249"/>
      <c r="FC45" s="249"/>
      <c r="FD45" s="249"/>
      <c r="FE45" s="249"/>
      <c r="FF45" s="249"/>
      <c r="FG45" s="297">
        <f aca="true" t="shared" si="64" ref="FG45:FG51">SUM(FG9:FM9)</f>
        <v>0</v>
      </c>
      <c r="FH45" s="303">
        <v>1</v>
      </c>
      <c r="FI45" s="249"/>
      <c r="FJ45" s="249"/>
      <c r="FK45" s="249"/>
      <c r="FL45" s="249"/>
      <c r="FM45" s="249"/>
      <c r="FN45" s="297">
        <f aca="true" t="shared" si="65" ref="FN45:FN51">SUM(FN9:FT9)</f>
        <v>0</v>
      </c>
      <c r="FO45" s="303">
        <v>1</v>
      </c>
      <c r="FP45" s="249"/>
      <c r="FQ45" s="249"/>
      <c r="FR45" s="249"/>
      <c r="FS45" s="249"/>
      <c r="FT45" s="249"/>
      <c r="FU45" s="297">
        <f aca="true" t="shared" si="66" ref="FU45:FU51">SUM(FU9:GA9)</f>
        <v>0</v>
      </c>
      <c r="FV45" s="303">
        <v>1</v>
      </c>
      <c r="FW45" s="249"/>
      <c r="FX45" s="249"/>
      <c r="FY45" s="249"/>
      <c r="FZ45" s="249"/>
      <c r="GA45" s="249"/>
      <c r="GB45" s="297">
        <f aca="true" t="shared" si="67" ref="GB45:GB51">SUM(GB9:GH9)</f>
        <v>0</v>
      </c>
      <c r="GC45" s="303">
        <v>1</v>
      </c>
      <c r="GD45" s="249"/>
      <c r="GE45" s="249"/>
      <c r="GF45" s="249"/>
      <c r="GG45" s="249"/>
      <c r="GH45" s="249"/>
    </row>
    <row r="46" spans="1:190" ht="12.75">
      <c r="A46" s="304" t="s">
        <v>278</v>
      </c>
      <c r="B46" s="297">
        <f t="shared" si="42"/>
        <v>0.4</v>
      </c>
      <c r="C46" s="303">
        <f>B46/B45</f>
        <v>0.1739130434782609</v>
      </c>
      <c r="D46" s="249"/>
      <c r="E46" s="249"/>
      <c r="F46" s="249"/>
      <c r="G46" s="249"/>
      <c r="H46" s="249"/>
      <c r="I46" s="297">
        <f t="shared" si="43"/>
        <v>0</v>
      </c>
      <c r="J46" s="303" t="e">
        <f>I46/I45</f>
        <v>#DIV/0!</v>
      </c>
      <c r="K46" s="249"/>
      <c r="L46" s="249"/>
      <c r="M46" s="249"/>
      <c r="N46" s="249"/>
      <c r="O46" s="249"/>
      <c r="P46" s="297">
        <f t="shared" si="44"/>
        <v>0</v>
      </c>
      <c r="Q46" s="303" t="e">
        <f>P46/P45</f>
        <v>#DIV/0!</v>
      </c>
      <c r="R46" s="249"/>
      <c r="S46" s="249"/>
      <c r="T46" s="249"/>
      <c r="U46" s="249"/>
      <c r="V46" s="249"/>
      <c r="W46" s="297">
        <f t="shared" si="45"/>
        <v>0</v>
      </c>
      <c r="X46" s="303" t="e">
        <f>W46/W45</f>
        <v>#DIV/0!</v>
      </c>
      <c r="Y46" s="249"/>
      <c r="Z46" s="249"/>
      <c r="AA46" s="249"/>
      <c r="AB46" s="249"/>
      <c r="AC46" s="249"/>
      <c r="AD46" s="297">
        <f t="shared" si="46"/>
        <v>0</v>
      </c>
      <c r="AE46" s="303" t="e">
        <f>AD46/AD45</f>
        <v>#DIV/0!</v>
      </c>
      <c r="AF46" s="249"/>
      <c r="AG46" s="249"/>
      <c r="AH46" s="249"/>
      <c r="AI46" s="249"/>
      <c r="AJ46" s="249"/>
      <c r="AK46" s="297">
        <f t="shared" si="47"/>
        <v>0</v>
      </c>
      <c r="AL46" s="303" t="e">
        <f>AK46/AK45</f>
        <v>#DIV/0!</v>
      </c>
      <c r="AM46" s="249"/>
      <c r="AN46" s="249"/>
      <c r="AO46" s="249"/>
      <c r="AP46" s="249"/>
      <c r="AQ46" s="249"/>
      <c r="AR46" s="297">
        <f t="shared" si="48"/>
        <v>0</v>
      </c>
      <c r="AS46" s="303" t="e">
        <f>AR46/AR45</f>
        <v>#DIV/0!</v>
      </c>
      <c r="AT46" s="249"/>
      <c r="AU46" s="249"/>
      <c r="AV46" s="249"/>
      <c r="AW46" s="249"/>
      <c r="AX46" s="249"/>
      <c r="AY46" s="297">
        <f t="shared" si="49"/>
        <v>0</v>
      </c>
      <c r="AZ46" s="303" t="e">
        <f>AY46/AY45</f>
        <v>#DIV/0!</v>
      </c>
      <c r="BA46" s="249"/>
      <c r="BB46" s="249"/>
      <c r="BC46" s="249"/>
      <c r="BD46" s="249"/>
      <c r="BE46" s="249"/>
      <c r="BF46" s="297">
        <f t="shared" si="50"/>
        <v>0</v>
      </c>
      <c r="BG46" s="303" t="e">
        <f>BF46/BF45</f>
        <v>#DIV/0!</v>
      </c>
      <c r="BH46" s="249"/>
      <c r="BI46" s="249"/>
      <c r="BJ46" s="249"/>
      <c r="BK46" s="249"/>
      <c r="BL46" s="249"/>
      <c r="BM46" s="297">
        <f t="shared" si="51"/>
        <v>0</v>
      </c>
      <c r="BN46" s="303" t="e">
        <f>BM46/BM45</f>
        <v>#DIV/0!</v>
      </c>
      <c r="BO46" s="249"/>
      <c r="BP46" s="249"/>
      <c r="BQ46" s="249"/>
      <c r="BR46" s="249"/>
      <c r="BS46" s="249"/>
      <c r="BT46" s="297">
        <f t="shared" si="52"/>
        <v>0</v>
      </c>
      <c r="BU46" s="303" t="e">
        <f>BT46/BT45</f>
        <v>#DIV/0!</v>
      </c>
      <c r="BV46" s="249"/>
      <c r="BW46" s="249"/>
      <c r="BX46" s="249"/>
      <c r="BY46" s="249"/>
      <c r="BZ46" s="249"/>
      <c r="CA46" s="297">
        <f t="shared" si="53"/>
        <v>0</v>
      </c>
      <c r="CB46" s="303" t="e">
        <f>CA46/CA45</f>
        <v>#DIV/0!</v>
      </c>
      <c r="CC46" s="249"/>
      <c r="CD46" s="249"/>
      <c r="CE46" s="249"/>
      <c r="CF46" s="249"/>
      <c r="CG46" s="249"/>
      <c r="CH46" s="297">
        <f t="shared" si="54"/>
        <v>0</v>
      </c>
      <c r="CI46" s="303" t="e">
        <f>CH46/CH45</f>
        <v>#DIV/0!</v>
      </c>
      <c r="CJ46" s="249"/>
      <c r="CK46" s="249"/>
      <c r="CL46" s="249"/>
      <c r="CM46" s="249"/>
      <c r="CN46" s="249"/>
      <c r="CO46" s="297">
        <f t="shared" si="55"/>
        <v>0</v>
      </c>
      <c r="CP46" s="303" t="e">
        <f>CO46/CO45</f>
        <v>#DIV/0!</v>
      </c>
      <c r="CQ46" s="249"/>
      <c r="CR46" s="249"/>
      <c r="CS46" s="249"/>
      <c r="CT46" s="249"/>
      <c r="CU46" s="249"/>
      <c r="CV46" s="297">
        <f t="shared" si="56"/>
        <v>0</v>
      </c>
      <c r="CW46" s="303" t="e">
        <f>CV46/CV45</f>
        <v>#DIV/0!</v>
      </c>
      <c r="CX46" s="249"/>
      <c r="CY46" s="249"/>
      <c r="CZ46" s="249"/>
      <c r="DA46" s="249"/>
      <c r="DB46" s="249"/>
      <c r="DC46" s="297">
        <f>SUM(DC10:DI10)</f>
        <v>0</v>
      </c>
      <c r="DD46" s="303" t="e">
        <f>DC46/DC45</f>
        <v>#DIV/0!</v>
      </c>
      <c r="DE46" s="249"/>
      <c r="DF46" s="249"/>
      <c r="DG46" s="249"/>
      <c r="DH46" s="249"/>
      <c r="DI46" s="249"/>
      <c r="DJ46" s="297">
        <f t="shared" si="57"/>
        <v>0</v>
      </c>
      <c r="DK46" s="303" t="e">
        <f>DJ46/DJ45</f>
        <v>#DIV/0!</v>
      </c>
      <c r="DL46" s="249"/>
      <c r="DM46" s="249"/>
      <c r="DN46" s="249"/>
      <c r="DO46" s="249"/>
      <c r="DP46" s="249"/>
      <c r="DQ46" s="297">
        <f t="shared" si="58"/>
        <v>0</v>
      </c>
      <c r="DR46" s="303" t="e">
        <f>DQ46/DQ45</f>
        <v>#DIV/0!</v>
      </c>
      <c r="DS46" s="249"/>
      <c r="DT46" s="249"/>
      <c r="DU46" s="249"/>
      <c r="DV46" s="249"/>
      <c r="DW46" s="249"/>
      <c r="DX46" s="297">
        <f t="shared" si="59"/>
        <v>0</v>
      </c>
      <c r="DY46" s="303" t="e">
        <f>DX46/DX45</f>
        <v>#DIV/0!</v>
      </c>
      <c r="DZ46" s="249"/>
      <c r="EA46" s="249"/>
      <c r="EB46" s="249"/>
      <c r="EC46" s="249"/>
      <c r="ED46" s="249"/>
      <c r="EE46" s="297">
        <f t="shared" si="60"/>
        <v>0</v>
      </c>
      <c r="EF46" s="303" t="e">
        <f>EE46/EE45</f>
        <v>#DIV/0!</v>
      </c>
      <c r="EG46" s="249"/>
      <c r="EH46" s="249"/>
      <c r="EI46" s="249"/>
      <c r="EJ46" s="249"/>
      <c r="EK46" s="249"/>
      <c r="EL46" s="297">
        <f t="shared" si="61"/>
        <v>0</v>
      </c>
      <c r="EM46" s="303" t="e">
        <f>EL46/EL45</f>
        <v>#DIV/0!</v>
      </c>
      <c r="EN46" s="249"/>
      <c r="EO46" s="249"/>
      <c r="EP46" s="249"/>
      <c r="EQ46" s="249"/>
      <c r="ER46" s="249"/>
      <c r="ES46" s="297">
        <f t="shared" si="62"/>
        <v>0</v>
      </c>
      <c r="ET46" s="303" t="e">
        <f>ES46/ES45</f>
        <v>#DIV/0!</v>
      </c>
      <c r="EU46" s="249"/>
      <c r="EV46" s="249"/>
      <c r="EW46" s="249"/>
      <c r="EX46" s="249"/>
      <c r="EY46" s="249"/>
      <c r="EZ46" s="297">
        <f t="shared" si="63"/>
        <v>0</v>
      </c>
      <c r="FA46" s="303" t="e">
        <f>EZ46/EZ45</f>
        <v>#DIV/0!</v>
      </c>
      <c r="FB46" s="249"/>
      <c r="FC46" s="249"/>
      <c r="FD46" s="249"/>
      <c r="FE46" s="249"/>
      <c r="FF46" s="249"/>
      <c r="FG46" s="297">
        <f t="shared" si="64"/>
        <v>0</v>
      </c>
      <c r="FH46" s="303" t="e">
        <f>FG46/FG45</f>
        <v>#DIV/0!</v>
      </c>
      <c r="FI46" s="249"/>
      <c r="FJ46" s="249"/>
      <c r="FK46" s="249"/>
      <c r="FL46" s="249"/>
      <c r="FM46" s="249"/>
      <c r="FN46" s="297">
        <f t="shared" si="65"/>
        <v>0</v>
      </c>
      <c r="FO46" s="303" t="e">
        <f>FN46/FN45</f>
        <v>#DIV/0!</v>
      </c>
      <c r="FP46" s="249"/>
      <c r="FQ46" s="249"/>
      <c r="FR46" s="249"/>
      <c r="FS46" s="249"/>
      <c r="FT46" s="249"/>
      <c r="FU46" s="297">
        <f t="shared" si="66"/>
        <v>0</v>
      </c>
      <c r="FV46" s="303" t="e">
        <f>FU46/FU45</f>
        <v>#DIV/0!</v>
      </c>
      <c r="FW46" s="249"/>
      <c r="FX46" s="249"/>
      <c r="FY46" s="249"/>
      <c r="FZ46" s="249"/>
      <c r="GA46" s="249"/>
      <c r="GB46" s="297">
        <f t="shared" si="67"/>
        <v>0</v>
      </c>
      <c r="GC46" s="303" t="e">
        <f>GB46/GB45</f>
        <v>#DIV/0!</v>
      </c>
      <c r="GD46" s="249"/>
      <c r="GE46" s="249"/>
      <c r="GF46" s="249"/>
      <c r="GG46" s="249"/>
      <c r="GH46" s="249"/>
    </row>
    <row r="47" spans="1:190" ht="12.75">
      <c r="A47" s="304" t="s">
        <v>279</v>
      </c>
      <c r="B47" s="297">
        <f t="shared" si="42"/>
        <v>0</v>
      </c>
      <c r="C47" s="303">
        <f>B47/B45</f>
        <v>0</v>
      </c>
      <c r="D47" s="249"/>
      <c r="E47" s="249"/>
      <c r="F47" s="249"/>
      <c r="G47" s="249"/>
      <c r="H47" s="249"/>
      <c r="I47" s="297">
        <f t="shared" si="43"/>
        <v>0</v>
      </c>
      <c r="J47" s="303" t="e">
        <f>I47/I45</f>
        <v>#DIV/0!</v>
      </c>
      <c r="K47" s="249"/>
      <c r="L47" s="249"/>
      <c r="M47" s="249"/>
      <c r="N47" s="249"/>
      <c r="O47" s="249"/>
      <c r="P47" s="297">
        <f t="shared" si="44"/>
        <v>0</v>
      </c>
      <c r="Q47" s="303" t="e">
        <f>P47/P45</f>
        <v>#DIV/0!</v>
      </c>
      <c r="R47" s="249"/>
      <c r="S47" s="249"/>
      <c r="T47" s="249"/>
      <c r="U47" s="249"/>
      <c r="V47" s="249"/>
      <c r="W47" s="297">
        <f t="shared" si="45"/>
        <v>0</v>
      </c>
      <c r="X47" s="303" t="e">
        <f>W47/W45</f>
        <v>#DIV/0!</v>
      </c>
      <c r="Y47" s="249"/>
      <c r="Z47" s="249"/>
      <c r="AA47" s="249"/>
      <c r="AB47" s="249"/>
      <c r="AC47" s="249"/>
      <c r="AD47" s="297">
        <f t="shared" si="46"/>
        <v>0</v>
      </c>
      <c r="AE47" s="303" t="e">
        <f>AD47/AD45</f>
        <v>#DIV/0!</v>
      </c>
      <c r="AF47" s="249"/>
      <c r="AG47" s="249"/>
      <c r="AH47" s="249"/>
      <c r="AI47" s="249"/>
      <c r="AJ47" s="249"/>
      <c r="AK47" s="297">
        <f t="shared" si="47"/>
        <v>0</v>
      </c>
      <c r="AL47" s="303" t="e">
        <f>AK47/AK45</f>
        <v>#DIV/0!</v>
      </c>
      <c r="AM47" s="249"/>
      <c r="AN47" s="249"/>
      <c r="AO47" s="249"/>
      <c r="AP47" s="249"/>
      <c r="AQ47" s="249"/>
      <c r="AR47" s="297">
        <f t="shared" si="48"/>
        <v>0</v>
      </c>
      <c r="AS47" s="303" t="e">
        <f>AR47/AR45</f>
        <v>#DIV/0!</v>
      </c>
      <c r="AT47" s="249"/>
      <c r="AU47" s="249"/>
      <c r="AV47" s="249"/>
      <c r="AW47" s="249"/>
      <c r="AX47" s="249"/>
      <c r="AY47" s="297">
        <f t="shared" si="49"/>
        <v>0</v>
      </c>
      <c r="AZ47" s="303" t="e">
        <f>AY47/AY45</f>
        <v>#DIV/0!</v>
      </c>
      <c r="BA47" s="249"/>
      <c r="BB47" s="249"/>
      <c r="BC47" s="249"/>
      <c r="BD47" s="249"/>
      <c r="BE47" s="249"/>
      <c r="BF47" s="297">
        <f t="shared" si="50"/>
        <v>0</v>
      </c>
      <c r="BG47" s="303" t="e">
        <f>BF47/BF45</f>
        <v>#DIV/0!</v>
      </c>
      <c r="BH47" s="249"/>
      <c r="BI47" s="249"/>
      <c r="BJ47" s="249"/>
      <c r="BK47" s="249"/>
      <c r="BL47" s="249"/>
      <c r="BM47" s="297">
        <f t="shared" si="51"/>
        <v>0</v>
      </c>
      <c r="BN47" s="303" t="e">
        <f>BM47/BM45</f>
        <v>#DIV/0!</v>
      </c>
      <c r="BO47" s="249"/>
      <c r="BP47" s="249"/>
      <c r="BQ47" s="249"/>
      <c r="BR47" s="249"/>
      <c r="BS47" s="249"/>
      <c r="BT47" s="297">
        <f t="shared" si="52"/>
        <v>0</v>
      </c>
      <c r="BU47" s="303" t="e">
        <f>BT47/BT45</f>
        <v>#DIV/0!</v>
      </c>
      <c r="BV47" s="249"/>
      <c r="BW47" s="249"/>
      <c r="BX47" s="249"/>
      <c r="BY47" s="249"/>
      <c r="BZ47" s="249"/>
      <c r="CA47" s="297">
        <f t="shared" si="53"/>
        <v>0</v>
      </c>
      <c r="CB47" s="303" t="e">
        <f>CA47/CA45</f>
        <v>#DIV/0!</v>
      </c>
      <c r="CC47" s="249"/>
      <c r="CD47" s="249"/>
      <c r="CE47" s="249"/>
      <c r="CF47" s="249"/>
      <c r="CG47" s="249"/>
      <c r="CH47" s="297">
        <f t="shared" si="54"/>
        <v>0</v>
      </c>
      <c r="CI47" s="303" t="e">
        <f>CH47/CH45</f>
        <v>#DIV/0!</v>
      </c>
      <c r="CJ47" s="249"/>
      <c r="CK47" s="249"/>
      <c r="CL47" s="249"/>
      <c r="CM47" s="249"/>
      <c r="CN47" s="249"/>
      <c r="CO47" s="297">
        <f t="shared" si="55"/>
        <v>0</v>
      </c>
      <c r="CP47" s="303" t="e">
        <f>CO47/CO45</f>
        <v>#DIV/0!</v>
      </c>
      <c r="CQ47" s="249"/>
      <c r="CR47" s="249"/>
      <c r="CS47" s="249"/>
      <c r="CT47" s="249"/>
      <c r="CU47" s="249"/>
      <c r="CV47" s="297">
        <f t="shared" si="56"/>
        <v>0</v>
      </c>
      <c r="CW47" s="303" t="e">
        <f>CV47/CV45</f>
        <v>#DIV/0!</v>
      </c>
      <c r="CX47" s="249"/>
      <c r="CY47" s="249"/>
      <c r="CZ47" s="249"/>
      <c r="DA47" s="249"/>
      <c r="DB47" s="249"/>
      <c r="DC47" s="297">
        <f>SUM(DC11:DI11)</f>
        <v>0</v>
      </c>
      <c r="DD47" s="303" t="e">
        <f>DC47/DC45</f>
        <v>#DIV/0!</v>
      </c>
      <c r="DE47" s="249"/>
      <c r="DF47" s="249"/>
      <c r="DG47" s="249"/>
      <c r="DH47" s="249"/>
      <c r="DI47" s="249"/>
      <c r="DJ47" s="297">
        <f t="shared" si="57"/>
        <v>0</v>
      </c>
      <c r="DK47" s="303" t="e">
        <f>DJ47/DJ45</f>
        <v>#DIV/0!</v>
      </c>
      <c r="DL47" s="249"/>
      <c r="DM47" s="249"/>
      <c r="DN47" s="249"/>
      <c r="DO47" s="249"/>
      <c r="DP47" s="249"/>
      <c r="DQ47" s="297">
        <f t="shared" si="58"/>
        <v>0</v>
      </c>
      <c r="DR47" s="303" t="e">
        <f>DQ47/DQ45</f>
        <v>#DIV/0!</v>
      </c>
      <c r="DS47" s="249"/>
      <c r="DT47" s="249"/>
      <c r="DU47" s="249"/>
      <c r="DV47" s="249"/>
      <c r="DW47" s="249"/>
      <c r="DX47" s="297">
        <f t="shared" si="59"/>
        <v>0</v>
      </c>
      <c r="DY47" s="303" t="e">
        <f>DX47/DX45</f>
        <v>#DIV/0!</v>
      </c>
      <c r="DZ47" s="249"/>
      <c r="EA47" s="249"/>
      <c r="EB47" s="249"/>
      <c r="EC47" s="249"/>
      <c r="ED47" s="249"/>
      <c r="EE47" s="297">
        <f t="shared" si="60"/>
        <v>0</v>
      </c>
      <c r="EF47" s="303" t="e">
        <f>EE47/EE45</f>
        <v>#DIV/0!</v>
      </c>
      <c r="EG47" s="249"/>
      <c r="EH47" s="249"/>
      <c r="EI47" s="249"/>
      <c r="EJ47" s="249"/>
      <c r="EK47" s="249"/>
      <c r="EL47" s="297">
        <f t="shared" si="61"/>
        <v>0</v>
      </c>
      <c r="EM47" s="303" t="e">
        <f>EL47/EL45</f>
        <v>#DIV/0!</v>
      </c>
      <c r="EN47" s="249"/>
      <c r="EO47" s="249"/>
      <c r="EP47" s="249"/>
      <c r="EQ47" s="249"/>
      <c r="ER47" s="249"/>
      <c r="ES47" s="297">
        <f t="shared" si="62"/>
        <v>0</v>
      </c>
      <c r="ET47" s="303" t="e">
        <f>ES47/ES45</f>
        <v>#DIV/0!</v>
      </c>
      <c r="EU47" s="249"/>
      <c r="EV47" s="249"/>
      <c r="EW47" s="249"/>
      <c r="EX47" s="249"/>
      <c r="EY47" s="249"/>
      <c r="EZ47" s="297">
        <f t="shared" si="63"/>
        <v>0</v>
      </c>
      <c r="FA47" s="303" t="e">
        <f>EZ47/EZ45</f>
        <v>#DIV/0!</v>
      </c>
      <c r="FB47" s="249"/>
      <c r="FC47" s="249"/>
      <c r="FD47" s="249"/>
      <c r="FE47" s="249"/>
      <c r="FF47" s="249"/>
      <c r="FG47" s="297">
        <f t="shared" si="64"/>
        <v>0</v>
      </c>
      <c r="FH47" s="303" t="e">
        <f>FG47/FG45</f>
        <v>#DIV/0!</v>
      </c>
      <c r="FI47" s="249"/>
      <c r="FJ47" s="249"/>
      <c r="FK47" s="249"/>
      <c r="FL47" s="249"/>
      <c r="FM47" s="249"/>
      <c r="FN47" s="297">
        <f t="shared" si="65"/>
        <v>0</v>
      </c>
      <c r="FO47" s="303" t="e">
        <f>FN47/FN45</f>
        <v>#DIV/0!</v>
      </c>
      <c r="FP47" s="249"/>
      <c r="FQ47" s="249"/>
      <c r="FR47" s="249"/>
      <c r="FS47" s="249"/>
      <c r="FT47" s="249"/>
      <c r="FU47" s="297">
        <f t="shared" si="66"/>
        <v>0</v>
      </c>
      <c r="FV47" s="303" t="e">
        <f>FU47/FU45</f>
        <v>#DIV/0!</v>
      </c>
      <c r="FW47" s="249"/>
      <c r="FX47" s="249"/>
      <c r="FY47" s="249"/>
      <c r="FZ47" s="249"/>
      <c r="GA47" s="249"/>
      <c r="GB47" s="297">
        <f t="shared" si="67"/>
        <v>0</v>
      </c>
      <c r="GC47" s="303" t="e">
        <f>GB47/GB45</f>
        <v>#DIV/0!</v>
      </c>
      <c r="GD47" s="249"/>
      <c r="GE47" s="249"/>
      <c r="GF47" s="249"/>
      <c r="GG47" s="249"/>
      <c r="GH47" s="249"/>
    </row>
    <row r="48" spans="1:190" ht="12.75">
      <c r="A48" s="304" t="s">
        <v>280</v>
      </c>
      <c r="B48" s="297">
        <f t="shared" si="42"/>
        <v>0</v>
      </c>
      <c r="C48" s="303">
        <f>B48/B45</f>
        <v>0</v>
      </c>
      <c r="D48" s="249"/>
      <c r="E48" s="249"/>
      <c r="F48" s="249"/>
      <c r="G48" s="249"/>
      <c r="H48" s="249"/>
      <c r="I48" s="297">
        <f t="shared" si="43"/>
        <v>0</v>
      </c>
      <c r="J48" s="303" t="e">
        <f>I48/I45</f>
        <v>#DIV/0!</v>
      </c>
      <c r="K48" s="249"/>
      <c r="L48" s="249"/>
      <c r="M48" s="249"/>
      <c r="N48" s="249"/>
      <c r="O48" s="249"/>
      <c r="P48" s="297">
        <f t="shared" si="44"/>
        <v>0</v>
      </c>
      <c r="Q48" s="303" t="e">
        <f>P48/P45</f>
        <v>#DIV/0!</v>
      </c>
      <c r="R48" s="249"/>
      <c r="S48" s="249"/>
      <c r="T48" s="249"/>
      <c r="U48" s="249"/>
      <c r="V48" s="249"/>
      <c r="W48" s="297">
        <f t="shared" si="45"/>
        <v>0</v>
      </c>
      <c r="X48" s="303" t="e">
        <f>W48/W45</f>
        <v>#DIV/0!</v>
      </c>
      <c r="Y48" s="249"/>
      <c r="Z48" s="249"/>
      <c r="AA48" s="249"/>
      <c r="AB48" s="249"/>
      <c r="AC48" s="249"/>
      <c r="AD48" s="297">
        <f t="shared" si="46"/>
        <v>0</v>
      </c>
      <c r="AE48" s="303" t="e">
        <f>AD48/AD45</f>
        <v>#DIV/0!</v>
      </c>
      <c r="AF48" s="249"/>
      <c r="AG48" s="249"/>
      <c r="AH48" s="249"/>
      <c r="AI48" s="249"/>
      <c r="AJ48" s="249"/>
      <c r="AK48" s="297">
        <f t="shared" si="47"/>
        <v>0</v>
      </c>
      <c r="AL48" s="303" t="e">
        <f>AK48/AK45</f>
        <v>#DIV/0!</v>
      </c>
      <c r="AM48" s="249"/>
      <c r="AN48" s="249"/>
      <c r="AO48" s="249"/>
      <c r="AP48" s="249"/>
      <c r="AQ48" s="249"/>
      <c r="AR48" s="297">
        <f t="shared" si="48"/>
        <v>0</v>
      </c>
      <c r="AS48" s="303" t="e">
        <f>AR48/AR45</f>
        <v>#DIV/0!</v>
      </c>
      <c r="AT48" s="249"/>
      <c r="AU48" s="249"/>
      <c r="AV48" s="249"/>
      <c r="AW48" s="249"/>
      <c r="AX48" s="249"/>
      <c r="AY48" s="297">
        <f t="shared" si="49"/>
        <v>0</v>
      </c>
      <c r="AZ48" s="303" t="e">
        <f>AY48/AY45</f>
        <v>#DIV/0!</v>
      </c>
      <c r="BA48" s="249"/>
      <c r="BB48" s="249"/>
      <c r="BC48" s="249"/>
      <c r="BD48" s="249"/>
      <c r="BE48" s="249"/>
      <c r="BF48" s="297">
        <f t="shared" si="50"/>
        <v>0</v>
      </c>
      <c r="BG48" s="303" t="e">
        <f>BF48/BF45</f>
        <v>#DIV/0!</v>
      </c>
      <c r="BH48" s="249"/>
      <c r="BI48" s="249"/>
      <c r="BJ48" s="249"/>
      <c r="BK48" s="249"/>
      <c r="BL48" s="249"/>
      <c r="BM48" s="297">
        <f t="shared" si="51"/>
        <v>0</v>
      </c>
      <c r="BN48" s="303" t="e">
        <f>BM48/BM45</f>
        <v>#DIV/0!</v>
      </c>
      <c r="BO48" s="249"/>
      <c r="BP48" s="249"/>
      <c r="BQ48" s="249"/>
      <c r="BR48" s="249"/>
      <c r="BS48" s="249"/>
      <c r="BT48" s="297">
        <f t="shared" si="52"/>
        <v>0</v>
      </c>
      <c r="BU48" s="303" t="e">
        <f>BT48/BT45</f>
        <v>#DIV/0!</v>
      </c>
      <c r="BV48" s="249"/>
      <c r="BW48" s="249"/>
      <c r="BX48" s="249"/>
      <c r="BY48" s="249"/>
      <c r="BZ48" s="249"/>
      <c r="CA48" s="297">
        <f t="shared" si="53"/>
        <v>0</v>
      </c>
      <c r="CB48" s="303" t="e">
        <f>CA48/CA45</f>
        <v>#DIV/0!</v>
      </c>
      <c r="CC48" s="249"/>
      <c r="CD48" s="249"/>
      <c r="CE48" s="249"/>
      <c r="CF48" s="249"/>
      <c r="CG48" s="249"/>
      <c r="CH48" s="297">
        <f t="shared" si="54"/>
        <v>0</v>
      </c>
      <c r="CI48" s="303" t="e">
        <f>CH48/CH45</f>
        <v>#DIV/0!</v>
      </c>
      <c r="CJ48" s="249"/>
      <c r="CK48" s="249"/>
      <c r="CL48" s="249"/>
      <c r="CM48" s="249"/>
      <c r="CN48" s="249"/>
      <c r="CO48" s="297">
        <f t="shared" si="55"/>
        <v>0</v>
      </c>
      <c r="CP48" s="303" t="e">
        <f>CO48/CO45</f>
        <v>#DIV/0!</v>
      </c>
      <c r="CQ48" s="249"/>
      <c r="CR48" s="249"/>
      <c r="CS48" s="249"/>
      <c r="CT48" s="249"/>
      <c r="CU48" s="249"/>
      <c r="CV48" s="297">
        <f t="shared" si="56"/>
        <v>0</v>
      </c>
      <c r="CW48" s="303" t="e">
        <f>CV48/CV45</f>
        <v>#DIV/0!</v>
      </c>
      <c r="CX48" s="249"/>
      <c r="CY48" s="249"/>
      <c r="CZ48" s="249"/>
      <c r="DA48" s="249"/>
      <c r="DB48" s="249"/>
      <c r="DC48" s="297">
        <f>SUM(DC12:DI12)</f>
        <v>0</v>
      </c>
      <c r="DD48" s="303" t="e">
        <f>DC48/DC45</f>
        <v>#DIV/0!</v>
      </c>
      <c r="DE48" s="249"/>
      <c r="DF48" s="249"/>
      <c r="DG48" s="249"/>
      <c r="DH48" s="249"/>
      <c r="DI48" s="249"/>
      <c r="DJ48" s="297">
        <f t="shared" si="57"/>
        <v>0</v>
      </c>
      <c r="DK48" s="303" t="e">
        <f>DJ48/DJ45</f>
        <v>#DIV/0!</v>
      </c>
      <c r="DL48" s="249"/>
      <c r="DM48" s="249"/>
      <c r="DN48" s="249"/>
      <c r="DO48" s="249"/>
      <c r="DP48" s="249"/>
      <c r="DQ48" s="297">
        <f t="shared" si="58"/>
        <v>0</v>
      </c>
      <c r="DR48" s="303" t="e">
        <f>DQ48/DQ45</f>
        <v>#DIV/0!</v>
      </c>
      <c r="DS48" s="249"/>
      <c r="DT48" s="249"/>
      <c r="DU48" s="249"/>
      <c r="DV48" s="249"/>
      <c r="DW48" s="249"/>
      <c r="DX48" s="297">
        <f t="shared" si="59"/>
        <v>0</v>
      </c>
      <c r="DY48" s="303" t="e">
        <f>DX48/DX45</f>
        <v>#DIV/0!</v>
      </c>
      <c r="DZ48" s="249"/>
      <c r="EA48" s="249"/>
      <c r="EB48" s="249"/>
      <c r="EC48" s="249"/>
      <c r="ED48" s="249"/>
      <c r="EE48" s="297">
        <f t="shared" si="60"/>
        <v>0</v>
      </c>
      <c r="EF48" s="303" t="e">
        <f>EE48/EE45</f>
        <v>#DIV/0!</v>
      </c>
      <c r="EG48" s="249"/>
      <c r="EH48" s="249"/>
      <c r="EI48" s="249"/>
      <c r="EJ48" s="249"/>
      <c r="EK48" s="249"/>
      <c r="EL48" s="297">
        <f t="shared" si="61"/>
        <v>0</v>
      </c>
      <c r="EM48" s="303" t="e">
        <f>EL48/EL45</f>
        <v>#DIV/0!</v>
      </c>
      <c r="EN48" s="249"/>
      <c r="EO48" s="249"/>
      <c r="EP48" s="249"/>
      <c r="EQ48" s="249"/>
      <c r="ER48" s="249"/>
      <c r="ES48" s="297">
        <f t="shared" si="62"/>
        <v>0</v>
      </c>
      <c r="ET48" s="303" t="e">
        <f>ES48/ES45</f>
        <v>#DIV/0!</v>
      </c>
      <c r="EU48" s="249"/>
      <c r="EV48" s="249"/>
      <c r="EW48" s="249"/>
      <c r="EX48" s="249"/>
      <c r="EY48" s="249"/>
      <c r="EZ48" s="297">
        <f t="shared" si="63"/>
        <v>0</v>
      </c>
      <c r="FA48" s="303" t="e">
        <f>EZ48/EZ45</f>
        <v>#DIV/0!</v>
      </c>
      <c r="FB48" s="249"/>
      <c r="FC48" s="249"/>
      <c r="FD48" s="249"/>
      <c r="FE48" s="249"/>
      <c r="FF48" s="249"/>
      <c r="FG48" s="297">
        <f t="shared" si="64"/>
        <v>0</v>
      </c>
      <c r="FH48" s="303" t="e">
        <f>FG48/FG45</f>
        <v>#DIV/0!</v>
      </c>
      <c r="FI48" s="249"/>
      <c r="FJ48" s="249"/>
      <c r="FK48" s="249"/>
      <c r="FL48" s="249"/>
      <c r="FM48" s="249"/>
      <c r="FN48" s="297">
        <f t="shared" si="65"/>
        <v>0</v>
      </c>
      <c r="FO48" s="303" t="e">
        <f>FN48/FN45</f>
        <v>#DIV/0!</v>
      </c>
      <c r="FP48" s="249"/>
      <c r="FQ48" s="249"/>
      <c r="FR48" s="249"/>
      <c r="FS48" s="249"/>
      <c r="FT48" s="249"/>
      <c r="FU48" s="297">
        <f t="shared" si="66"/>
        <v>0</v>
      </c>
      <c r="FV48" s="303" t="e">
        <f>FU48/FU45</f>
        <v>#DIV/0!</v>
      </c>
      <c r="FW48" s="249"/>
      <c r="FX48" s="249"/>
      <c r="FY48" s="249"/>
      <c r="FZ48" s="249"/>
      <c r="GA48" s="249"/>
      <c r="GB48" s="297">
        <f t="shared" si="67"/>
        <v>0</v>
      </c>
      <c r="GC48" s="303" t="e">
        <f>GB48/GB45</f>
        <v>#DIV/0!</v>
      </c>
      <c r="GD48" s="249"/>
      <c r="GE48" s="249"/>
      <c r="GF48" s="249"/>
      <c r="GG48" s="249"/>
      <c r="GH48" s="249"/>
    </row>
    <row r="49" spans="1:190" ht="12.75">
      <c r="A49" s="304" t="s">
        <v>261</v>
      </c>
      <c r="B49" s="297">
        <f t="shared" si="42"/>
        <v>0</v>
      </c>
      <c r="C49" s="303">
        <f>B49/B45</f>
        <v>0</v>
      </c>
      <c r="D49" s="249"/>
      <c r="E49" s="249"/>
      <c r="F49" s="249"/>
      <c r="G49" s="249"/>
      <c r="H49" s="249"/>
      <c r="I49" s="297">
        <f t="shared" si="43"/>
        <v>0</v>
      </c>
      <c r="J49" s="303" t="e">
        <f>I49/I45</f>
        <v>#DIV/0!</v>
      </c>
      <c r="K49" s="249"/>
      <c r="L49" s="249"/>
      <c r="M49" s="249"/>
      <c r="N49" s="249"/>
      <c r="O49" s="249"/>
      <c r="P49" s="297">
        <f t="shared" si="44"/>
        <v>0</v>
      </c>
      <c r="Q49" s="303" t="e">
        <f>P49/P45</f>
        <v>#DIV/0!</v>
      </c>
      <c r="R49" s="249"/>
      <c r="S49" s="249"/>
      <c r="T49" s="249"/>
      <c r="U49" s="249"/>
      <c r="V49" s="249"/>
      <c r="W49" s="297">
        <f t="shared" si="45"/>
        <v>0</v>
      </c>
      <c r="X49" s="303" t="e">
        <f>W49/W45</f>
        <v>#DIV/0!</v>
      </c>
      <c r="Y49" s="249"/>
      <c r="Z49" s="249"/>
      <c r="AA49" s="249"/>
      <c r="AB49" s="249"/>
      <c r="AC49" s="249"/>
      <c r="AD49" s="297">
        <f t="shared" si="46"/>
        <v>0</v>
      </c>
      <c r="AE49" s="303" t="e">
        <f>AD49/AD45</f>
        <v>#DIV/0!</v>
      </c>
      <c r="AF49" s="249"/>
      <c r="AG49" s="249"/>
      <c r="AH49" s="249"/>
      <c r="AI49" s="249"/>
      <c r="AJ49" s="249"/>
      <c r="AK49" s="297">
        <f t="shared" si="47"/>
        <v>0</v>
      </c>
      <c r="AL49" s="303" t="e">
        <f>AK49/AK45</f>
        <v>#DIV/0!</v>
      </c>
      <c r="AM49" s="249"/>
      <c r="AN49" s="249"/>
      <c r="AO49" s="249"/>
      <c r="AP49" s="249"/>
      <c r="AQ49" s="249"/>
      <c r="AR49" s="297">
        <f t="shared" si="48"/>
        <v>0</v>
      </c>
      <c r="AS49" s="303" t="e">
        <f>AR49/AR45</f>
        <v>#DIV/0!</v>
      </c>
      <c r="AT49" s="249"/>
      <c r="AU49" s="249"/>
      <c r="AV49" s="249"/>
      <c r="AW49" s="249"/>
      <c r="AX49" s="249"/>
      <c r="AY49" s="297">
        <f t="shared" si="49"/>
        <v>0</v>
      </c>
      <c r="AZ49" s="303" t="e">
        <f>AY49/AY45</f>
        <v>#DIV/0!</v>
      </c>
      <c r="BA49" s="249"/>
      <c r="BB49" s="249"/>
      <c r="BC49" s="249"/>
      <c r="BD49" s="249"/>
      <c r="BE49" s="249"/>
      <c r="BF49" s="297">
        <f t="shared" si="50"/>
        <v>0</v>
      </c>
      <c r="BG49" s="303" t="e">
        <f>BF49/BF45</f>
        <v>#DIV/0!</v>
      </c>
      <c r="BH49" s="249"/>
      <c r="BI49" s="249"/>
      <c r="BJ49" s="249"/>
      <c r="BK49" s="249"/>
      <c r="BL49" s="249"/>
      <c r="BM49" s="297">
        <f t="shared" si="51"/>
        <v>0</v>
      </c>
      <c r="BN49" s="303" t="e">
        <f>BM49/BM45</f>
        <v>#DIV/0!</v>
      </c>
      <c r="BO49" s="249"/>
      <c r="BP49" s="249"/>
      <c r="BQ49" s="249"/>
      <c r="BR49" s="249"/>
      <c r="BS49" s="249"/>
      <c r="BT49" s="297">
        <f t="shared" si="52"/>
        <v>0</v>
      </c>
      <c r="BU49" s="303" t="e">
        <f>BT49/BT45</f>
        <v>#DIV/0!</v>
      </c>
      <c r="BV49" s="249"/>
      <c r="BW49" s="249"/>
      <c r="BX49" s="249"/>
      <c r="BY49" s="249"/>
      <c r="BZ49" s="249"/>
      <c r="CA49" s="297">
        <f t="shared" si="53"/>
        <v>0</v>
      </c>
      <c r="CB49" s="303" t="e">
        <f>CA49/CA45</f>
        <v>#DIV/0!</v>
      </c>
      <c r="CC49" s="249"/>
      <c r="CD49" s="249"/>
      <c r="CE49" s="249"/>
      <c r="CF49" s="249"/>
      <c r="CG49" s="249"/>
      <c r="CH49" s="297">
        <f t="shared" si="54"/>
        <v>0</v>
      </c>
      <c r="CI49" s="303" t="e">
        <f>CH49/CH45</f>
        <v>#DIV/0!</v>
      </c>
      <c r="CJ49" s="249"/>
      <c r="CK49" s="249"/>
      <c r="CL49" s="249"/>
      <c r="CM49" s="249"/>
      <c r="CN49" s="249"/>
      <c r="CO49" s="297">
        <f t="shared" si="55"/>
        <v>0</v>
      </c>
      <c r="CP49" s="303" t="e">
        <f>CO49/CO45</f>
        <v>#DIV/0!</v>
      </c>
      <c r="CQ49" s="249"/>
      <c r="CR49" s="249"/>
      <c r="CS49" s="249"/>
      <c r="CT49" s="249"/>
      <c r="CU49" s="249"/>
      <c r="CV49" s="297">
        <f t="shared" si="56"/>
        <v>0</v>
      </c>
      <c r="CW49" s="303" t="e">
        <f>CV49/CV45</f>
        <v>#DIV/0!</v>
      </c>
      <c r="CX49" s="249"/>
      <c r="CY49" s="249"/>
      <c r="CZ49" s="249"/>
      <c r="DA49" s="249"/>
      <c r="DB49" s="249"/>
      <c r="DC49" s="297">
        <f>SUM(DC13:DI13)</f>
        <v>0</v>
      </c>
      <c r="DD49" s="303" t="e">
        <f>DC49/DC45</f>
        <v>#DIV/0!</v>
      </c>
      <c r="DE49" s="249"/>
      <c r="DF49" s="249"/>
      <c r="DG49" s="249"/>
      <c r="DH49" s="249"/>
      <c r="DI49" s="249"/>
      <c r="DJ49" s="297">
        <f t="shared" si="57"/>
        <v>0</v>
      </c>
      <c r="DK49" s="303" t="e">
        <f>DJ49/DJ45</f>
        <v>#DIV/0!</v>
      </c>
      <c r="DL49" s="249"/>
      <c r="DM49" s="249"/>
      <c r="DN49" s="249"/>
      <c r="DO49" s="249"/>
      <c r="DP49" s="249"/>
      <c r="DQ49" s="297">
        <f t="shared" si="58"/>
        <v>0</v>
      </c>
      <c r="DR49" s="303" t="e">
        <f>DQ49/DQ45</f>
        <v>#DIV/0!</v>
      </c>
      <c r="DS49" s="249"/>
      <c r="DT49" s="249"/>
      <c r="DU49" s="249"/>
      <c r="DV49" s="249"/>
      <c r="DW49" s="249"/>
      <c r="DX49" s="297">
        <f t="shared" si="59"/>
        <v>0</v>
      </c>
      <c r="DY49" s="303" t="e">
        <f>DX49/DX45</f>
        <v>#DIV/0!</v>
      </c>
      <c r="DZ49" s="249"/>
      <c r="EA49" s="249"/>
      <c r="EB49" s="249"/>
      <c r="EC49" s="249"/>
      <c r="ED49" s="249"/>
      <c r="EE49" s="297">
        <f t="shared" si="60"/>
        <v>0</v>
      </c>
      <c r="EF49" s="303" t="e">
        <f>EE49/EE45</f>
        <v>#DIV/0!</v>
      </c>
      <c r="EG49" s="249"/>
      <c r="EH49" s="249"/>
      <c r="EI49" s="249"/>
      <c r="EJ49" s="249"/>
      <c r="EK49" s="249"/>
      <c r="EL49" s="297">
        <f t="shared" si="61"/>
        <v>0</v>
      </c>
      <c r="EM49" s="303" t="e">
        <f>EL49/EL45</f>
        <v>#DIV/0!</v>
      </c>
      <c r="EN49" s="249"/>
      <c r="EO49" s="249"/>
      <c r="EP49" s="249"/>
      <c r="EQ49" s="249"/>
      <c r="ER49" s="249"/>
      <c r="ES49" s="297">
        <f t="shared" si="62"/>
        <v>0</v>
      </c>
      <c r="ET49" s="303" t="e">
        <f>ES49/ES45</f>
        <v>#DIV/0!</v>
      </c>
      <c r="EU49" s="249"/>
      <c r="EV49" s="249"/>
      <c r="EW49" s="249"/>
      <c r="EX49" s="249"/>
      <c r="EY49" s="249"/>
      <c r="EZ49" s="297">
        <f t="shared" si="63"/>
        <v>0</v>
      </c>
      <c r="FA49" s="303" t="e">
        <f>EZ49/EZ45</f>
        <v>#DIV/0!</v>
      </c>
      <c r="FB49" s="249"/>
      <c r="FC49" s="249"/>
      <c r="FD49" s="249"/>
      <c r="FE49" s="249"/>
      <c r="FF49" s="249"/>
      <c r="FG49" s="297">
        <f t="shared" si="64"/>
        <v>0</v>
      </c>
      <c r="FH49" s="303" t="e">
        <f>FG49/FG45</f>
        <v>#DIV/0!</v>
      </c>
      <c r="FI49" s="249"/>
      <c r="FJ49" s="249"/>
      <c r="FK49" s="249"/>
      <c r="FL49" s="249"/>
      <c r="FM49" s="249"/>
      <c r="FN49" s="297">
        <f t="shared" si="65"/>
        <v>0</v>
      </c>
      <c r="FO49" s="303" t="e">
        <f>FN49/FN45</f>
        <v>#DIV/0!</v>
      </c>
      <c r="FP49" s="249"/>
      <c r="FQ49" s="249"/>
      <c r="FR49" s="249"/>
      <c r="FS49" s="249"/>
      <c r="FT49" s="249"/>
      <c r="FU49" s="297">
        <f t="shared" si="66"/>
        <v>0</v>
      </c>
      <c r="FV49" s="303" t="e">
        <f>FU49/FU45</f>
        <v>#DIV/0!</v>
      </c>
      <c r="FW49" s="249"/>
      <c r="FX49" s="249"/>
      <c r="FY49" s="249"/>
      <c r="FZ49" s="249"/>
      <c r="GA49" s="249"/>
      <c r="GB49" s="297">
        <f t="shared" si="67"/>
        <v>0</v>
      </c>
      <c r="GC49" s="303" t="e">
        <f>GB49/GB45</f>
        <v>#DIV/0!</v>
      </c>
      <c r="GD49" s="249"/>
      <c r="GE49" s="249"/>
      <c r="GF49" s="249"/>
      <c r="GG49" s="249"/>
      <c r="GH49" s="249"/>
    </row>
    <row r="50" spans="1:190" ht="12.75">
      <c r="A50" s="304" t="s">
        <v>281</v>
      </c>
      <c r="B50" s="297">
        <f t="shared" si="42"/>
        <v>1.5</v>
      </c>
      <c r="C50" s="303">
        <f>B50/B45</f>
        <v>0.6521739130434783</v>
      </c>
      <c r="D50" s="249"/>
      <c r="E50" s="249"/>
      <c r="F50" s="249"/>
      <c r="G50" s="249"/>
      <c r="H50" s="249"/>
      <c r="I50" s="297">
        <f t="shared" si="43"/>
        <v>0</v>
      </c>
      <c r="J50" s="303" t="e">
        <f>I50/I45</f>
        <v>#DIV/0!</v>
      </c>
      <c r="K50" s="249"/>
      <c r="L50" s="249"/>
      <c r="M50" s="249"/>
      <c r="N50" s="249"/>
      <c r="O50" s="249"/>
      <c r="P50" s="297">
        <f t="shared" si="44"/>
        <v>0</v>
      </c>
      <c r="Q50" s="303" t="e">
        <f>P50/P45</f>
        <v>#DIV/0!</v>
      </c>
      <c r="R50" s="249"/>
      <c r="S50" s="249"/>
      <c r="T50" s="249"/>
      <c r="U50" s="249"/>
      <c r="V50" s="249"/>
      <c r="W50" s="297">
        <f t="shared" si="45"/>
        <v>0</v>
      </c>
      <c r="X50" s="303" t="e">
        <f>W50/W45</f>
        <v>#DIV/0!</v>
      </c>
      <c r="Y50" s="249"/>
      <c r="Z50" s="249"/>
      <c r="AA50" s="249"/>
      <c r="AB50" s="249"/>
      <c r="AC50" s="249"/>
      <c r="AD50" s="297">
        <f t="shared" si="46"/>
        <v>0</v>
      </c>
      <c r="AE50" s="303" t="e">
        <f>AD50/AD45</f>
        <v>#DIV/0!</v>
      </c>
      <c r="AF50" s="249"/>
      <c r="AG50" s="249"/>
      <c r="AH50" s="249"/>
      <c r="AI50" s="249"/>
      <c r="AJ50" s="249"/>
      <c r="AK50" s="297">
        <f t="shared" si="47"/>
        <v>0</v>
      </c>
      <c r="AL50" s="303" t="e">
        <f>AK50/AK45</f>
        <v>#DIV/0!</v>
      </c>
      <c r="AM50" s="249"/>
      <c r="AN50" s="249"/>
      <c r="AO50" s="249"/>
      <c r="AP50" s="249"/>
      <c r="AQ50" s="249"/>
      <c r="AR50" s="297">
        <f t="shared" si="48"/>
        <v>0</v>
      </c>
      <c r="AS50" s="303" t="e">
        <f>AR50/AR45</f>
        <v>#DIV/0!</v>
      </c>
      <c r="AT50" s="249"/>
      <c r="AU50" s="249"/>
      <c r="AV50" s="249"/>
      <c r="AW50" s="249"/>
      <c r="AX50" s="249"/>
      <c r="AY50" s="297">
        <f t="shared" si="49"/>
        <v>0</v>
      </c>
      <c r="AZ50" s="303" t="e">
        <f>AY50/AY45</f>
        <v>#DIV/0!</v>
      </c>
      <c r="BA50" s="249"/>
      <c r="BB50" s="249"/>
      <c r="BC50" s="249"/>
      <c r="BD50" s="249"/>
      <c r="BE50" s="249"/>
      <c r="BF50" s="297">
        <f t="shared" si="50"/>
        <v>0</v>
      </c>
      <c r="BG50" s="303" t="e">
        <f>BF50/BF45</f>
        <v>#DIV/0!</v>
      </c>
      <c r="BH50" s="249"/>
      <c r="BI50" s="249"/>
      <c r="BJ50" s="249"/>
      <c r="BK50" s="249"/>
      <c r="BL50" s="249"/>
      <c r="BM50" s="297">
        <f t="shared" si="51"/>
        <v>0</v>
      </c>
      <c r="BN50" s="303" t="e">
        <f>BM50/BM45</f>
        <v>#DIV/0!</v>
      </c>
      <c r="BO50" s="249"/>
      <c r="BP50" s="249"/>
      <c r="BQ50" s="249"/>
      <c r="BR50" s="249"/>
      <c r="BS50" s="249"/>
      <c r="BT50" s="297">
        <f t="shared" si="52"/>
        <v>0</v>
      </c>
      <c r="BU50" s="303" t="e">
        <f>BT50/BT45</f>
        <v>#DIV/0!</v>
      </c>
      <c r="BV50" s="249"/>
      <c r="BW50" s="249"/>
      <c r="BX50" s="249"/>
      <c r="BY50" s="249"/>
      <c r="BZ50" s="249"/>
      <c r="CA50" s="297">
        <f t="shared" si="53"/>
        <v>0</v>
      </c>
      <c r="CB50" s="303" t="e">
        <f>CA50/CA45</f>
        <v>#DIV/0!</v>
      </c>
      <c r="CC50" s="249"/>
      <c r="CD50" s="249"/>
      <c r="CE50" s="249"/>
      <c r="CF50" s="249"/>
      <c r="CG50" s="249"/>
      <c r="CH50" s="297">
        <f t="shared" si="54"/>
        <v>0</v>
      </c>
      <c r="CI50" s="303" t="e">
        <f>CH50/CH45</f>
        <v>#DIV/0!</v>
      </c>
      <c r="CJ50" s="249"/>
      <c r="CK50" s="249"/>
      <c r="CL50" s="249"/>
      <c r="CM50" s="249"/>
      <c r="CN50" s="249"/>
      <c r="CO50" s="297">
        <f t="shared" si="55"/>
        <v>0</v>
      </c>
      <c r="CP50" s="303" t="e">
        <f>CO50/CO45</f>
        <v>#DIV/0!</v>
      </c>
      <c r="CQ50" s="249"/>
      <c r="CR50" s="249"/>
      <c r="CS50" s="249"/>
      <c r="CT50" s="249"/>
      <c r="CU50" s="249"/>
      <c r="CV50" s="297">
        <f t="shared" si="56"/>
        <v>0</v>
      </c>
      <c r="CW50" s="303" t="e">
        <f>CV50/CV45</f>
        <v>#DIV/0!</v>
      </c>
      <c r="CX50" s="249"/>
      <c r="CY50" s="249"/>
      <c r="CZ50" s="249"/>
      <c r="DA50" s="249"/>
      <c r="DB50" s="249"/>
      <c r="DC50" s="297">
        <f>SUM(DC14:DI14)</f>
        <v>0</v>
      </c>
      <c r="DD50" s="303" t="e">
        <f>DC50/DC45</f>
        <v>#DIV/0!</v>
      </c>
      <c r="DE50" s="249"/>
      <c r="DF50" s="249"/>
      <c r="DG50" s="249"/>
      <c r="DH50" s="249"/>
      <c r="DI50" s="249"/>
      <c r="DJ50" s="297">
        <f t="shared" si="57"/>
        <v>0</v>
      </c>
      <c r="DK50" s="303" t="e">
        <f>DJ50/DJ45</f>
        <v>#DIV/0!</v>
      </c>
      <c r="DL50" s="249"/>
      <c r="DM50" s="249"/>
      <c r="DN50" s="249"/>
      <c r="DO50" s="249"/>
      <c r="DP50" s="249"/>
      <c r="DQ50" s="297">
        <f t="shared" si="58"/>
        <v>0</v>
      </c>
      <c r="DR50" s="303" t="e">
        <f>DQ50/DQ45</f>
        <v>#DIV/0!</v>
      </c>
      <c r="DS50" s="249"/>
      <c r="DT50" s="249"/>
      <c r="DU50" s="249"/>
      <c r="DV50" s="249"/>
      <c r="DW50" s="249"/>
      <c r="DX50" s="297">
        <f t="shared" si="59"/>
        <v>0</v>
      </c>
      <c r="DY50" s="303" t="e">
        <f>DX50/DX45</f>
        <v>#DIV/0!</v>
      </c>
      <c r="DZ50" s="249"/>
      <c r="EA50" s="249"/>
      <c r="EB50" s="249"/>
      <c r="EC50" s="249"/>
      <c r="ED50" s="249"/>
      <c r="EE50" s="297">
        <f t="shared" si="60"/>
        <v>0</v>
      </c>
      <c r="EF50" s="303" t="e">
        <f>EE50/EE45</f>
        <v>#DIV/0!</v>
      </c>
      <c r="EG50" s="249"/>
      <c r="EH50" s="249"/>
      <c r="EI50" s="249"/>
      <c r="EJ50" s="249"/>
      <c r="EK50" s="249"/>
      <c r="EL50" s="297">
        <f t="shared" si="61"/>
        <v>0</v>
      </c>
      <c r="EM50" s="303" t="e">
        <f>EL50/EL45</f>
        <v>#DIV/0!</v>
      </c>
      <c r="EN50" s="249"/>
      <c r="EO50" s="249"/>
      <c r="EP50" s="249"/>
      <c r="EQ50" s="249"/>
      <c r="ER50" s="249"/>
      <c r="ES50" s="297">
        <f t="shared" si="62"/>
        <v>0</v>
      </c>
      <c r="ET50" s="303" t="e">
        <f>ES50/ES45</f>
        <v>#DIV/0!</v>
      </c>
      <c r="EU50" s="249"/>
      <c r="EV50" s="249"/>
      <c r="EW50" s="249"/>
      <c r="EX50" s="249"/>
      <c r="EY50" s="249"/>
      <c r="EZ50" s="297">
        <f t="shared" si="63"/>
        <v>0</v>
      </c>
      <c r="FA50" s="303" t="e">
        <f>EZ50/EZ45</f>
        <v>#DIV/0!</v>
      </c>
      <c r="FB50" s="249"/>
      <c r="FC50" s="249"/>
      <c r="FD50" s="249"/>
      <c r="FE50" s="249"/>
      <c r="FF50" s="249"/>
      <c r="FG50" s="297">
        <f t="shared" si="64"/>
        <v>0</v>
      </c>
      <c r="FH50" s="303" t="e">
        <f>FG50/FG45</f>
        <v>#DIV/0!</v>
      </c>
      <c r="FI50" s="249"/>
      <c r="FJ50" s="249"/>
      <c r="FK50" s="249"/>
      <c r="FL50" s="249"/>
      <c r="FM50" s="249"/>
      <c r="FN50" s="297">
        <f t="shared" si="65"/>
        <v>0</v>
      </c>
      <c r="FO50" s="303" t="e">
        <f>FN50/FN45</f>
        <v>#DIV/0!</v>
      </c>
      <c r="FP50" s="249"/>
      <c r="FQ50" s="249"/>
      <c r="FR50" s="249"/>
      <c r="FS50" s="249"/>
      <c r="FT50" s="249"/>
      <c r="FU50" s="297">
        <f t="shared" si="66"/>
        <v>0</v>
      </c>
      <c r="FV50" s="303" t="e">
        <f>FU50/FU45</f>
        <v>#DIV/0!</v>
      </c>
      <c r="FW50" s="249"/>
      <c r="FX50" s="249"/>
      <c r="FY50" s="249"/>
      <c r="FZ50" s="249"/>
      <c r="GA50" s="249"/>
      <c r="GB50" s="297">
        <f t="shared" si="67"/>
        <v>0</v>
      </c>
      <c r="GC50" s="303" t="e">
        <f>GB50/GB45</f>
        <v>#DIV/0!</v>
      </c>
      <c r="GD50" s="249"/>
      <c r="GE50" s="249"/>
      <c r="GF50" s="249"/>
      <c r="GG50" s="249"/>
      <c r="GH50" s="249"/>
    </row>
    <row r="51" spans="1:190" ht="12.75">
      <c r="A51" s="305" t="s">
        <v>262</v>
      </c>
      <c r="B51" s="297">
        <f t="shared" si="42"/>
        <v>0.4</v>
      </c>
      <c r="C51" s="303">
        <f>B51/B45</f>
        <v>0.1739130434782609</v>
      </c>
      <c r="D51" s="249"/>
      <c r="E51" s="249"/>
      <c r="F51" s="249"/>
      <c r="G51" s="249"/>
      <c r="H51" s="249"/>
      <c r="I51" s="297">
        <f t="shared" si="43"/>
        <v>0</v>
      </c>
      <c r="J51" s="303" t="e">
        <f>I51/I45</f>
        <v>#DIV/0!</v>
      </c>
      <c r="K51" s="249"/>
      <c r="L51" s="249"/>
      <c r="M51" s="249"/>
      <c r="N51" s="249"/>
      <c r="O51" s="249"/>
      <c r="P51" s="297">
        <f t="shared" si="44"/>
        <v>0</v>
      </c>
      <c r="Q51" s="303" t="e">
        <f>P51/P45</f>
        <v>#DIV/0!</v>
      </c>
      <c r="R51" s="249"/>
      <c r="S51" s="249"/>
      <c r="T51" s="249"/>
      <c r="U51" s="249"/>
      <c r="V51" s="249"/>
      <c r="W51" s="297">
        <f t="shared" si="45"/>
        <v>0</v>
      </c>
      <c r="X51" s="303" t="e">
        <f>W51/W45</f>
        <v>#DIV/0!</v>
      </c>
      <c r="Y51" s="249"/>
      <c r="Z51" s="249"/>
      <c r="AA51" s="249"/>
      <c r="AB51" s="249"/>
      <c r="AC51" s="249"/>
      <c r="AD51" s="297">
        <f t="shared" si="46"/>
        <v>0</v>
      </c>
      <c r="AE51" s="303" t="e">
        <f>AD51/AD45</f>
        <v>#DIV/0!</v>
      </c>
      <c r="AF51" s="249"/>
      <c r="AG51" s="249"/>
      <c r="AH51" s="249"/>
      <c r="AI51" s="249"/>
      <c r="AJ51" s="249"/>
      <c r="AK51" s="297">
        <f t="shared" si="47"/>
        <v>0</v>
      </c>
      <c r="AL51" s="303" t="e">
        <f>AK51/AK45</f>
        <v>#DIV/0!</v>
      </c>
      <c r="AM51" s="249"/>
      <c r="AN51" s="249"/>
      <c r="AO51" s="249"/>
      <c r="AP51" s="249"/>
      <c r="AQ51" s="249"/>
      <c r="AR51" s="297">
        <f t="shared" si="48"/>
        <v>0</v>
      </c>
      <c r="AS51" s="303" t="e">
        <f>AR51/AR45</f>
        <v>#DIV/0!</v>
      </c>
      <c r="AT51" s="249"/>
      <c r="AU51" s="249"/>
      <c r="AV51" s="249"/>
      <c r="AW51" s="249"/>
      <c r="AX51" s="249"/>
      <c r="AY51" s="297">
        <f t="shared" si="49"/>
        <v>0</v>
      </c>
      <c r="AZ51" s="303" t="e">
        <f>AY51/AY45</f>
        <v>#DIV/0!</v>
      </c>
      <c r="BA51" s="249"/>
      <c r="BB51" s="249"/>
      <c r="BC51" s="249"/>
      <c r="BD51" s="249"/>
      <c r="BE51" s="249"/>
      <c r="BF51" s="297">
        <f t="shared" si="50"/>
        <v>0</v>
      </c>
      <c r="BG51" s="303" t="e">
        <f>BF51/BF45</f>
        <v>#DIV/0!</v>
      </c>
      <c r="BH51" s="249"/>
      <c r="BI51" s="249"/>
      <c r="BJ51" s="249"/>
      <c r="BK51" s="249"/>
      <c r="BL51" s="249"/>
      <c r="BM51" s="297">
        <f t="shared" si="51"/>
        <v>0</v>
      </c>
      <c r="BN51" s="303" t="e">
        <f>BM51/BM45</f>
        <v>#DIV/0!</v>
      </c>
      <c r="BO51" s="249"/>
      <c r="BP51" s="249"/>
      <c r="BQ51" s="249"/>
      <c r="BR51" s="249"/>
      <c r="BS51" s="249"/>
      <c r="BT51" s="297">
        <f t="shared" si="52"/>
        <v>0</v>
      </c>
      <c r="BU51" s="303" t="e">
        <f>BT51/BT45</f>
        <v>#DIV/0!</v>
      </c>
      <c r="BV51" s="249"/>
      <c r="BW51" s="249"/>
      <c r="BX51" s="249"/>
      <c r="BY51" s="249"/>
      <c r="BZ51" s="249"/>
      <c r="CA51" s="297">
        <f t="shared" si="53"/>
        <v>0</v>
      </c>
      <c r="CB51" s="303" t="e">
        <f>CA51/CA45</f>
        <v>#DIV/0!</v>
      </c>
      <c r="CC51" s="249"/>
      <c r="CD51" s="249"/>
      <c r="CE51" s="249"/>
      <c r="CF51" s="249"/>
      <c r="CG51" s="249"/>
      <c r="CH51" s="297">
        <f t="shared" si="54"/>
        <v>0</v>
      </c>
      <c r="CI51" s="303" t="e">
        <f>CH51/CH45</f>
        <v>#DIV/0!</v>
      </c>
      <c r="CJ51" s="249"/>
      <c r="CK51" s="249"/>
      <c r="CL51" s="249"/>
      <c r="CM51" s="249"/>
      <c r="CN51" s="249"/>
      <c r="CO51" s="297">
        <f t="shared" si="55"/>
        <v>0</v>
      </c>
      <c r="CP51" s="303" t="e">
        <f>CO51/CO45</f>
        <v>#DIV/0!</v>
      </c>
      <c r="CQ51" s="249"/>
      <c r="CR51" s="249"/>
      <c r="CS51" s="249"/>
      <c r="CT51" s="249"/>
      <c r="CU51" s="249"/>
      <c r="CV51" s="297">
        <f t="shared" si="56"/>
        <v>0</v>
      </c>
      <c r="CW51" s="303" t="e">
        <f>CV51/CV45</f>
        <v>#DIV/0!</v>
      </c>
      <c r="CX51" s="249"/>
      <c r="CY51" s="249"/>
      <c r="CZ51" s="249"/>
      <c r="DA51" s="249"/>
      <c r="DB51" s="249"/>
      <c r="DC51" s="297">
        <f>SUM(DC15:DI15)</f>
        <v>0</v>
      </c>
      <c r="DD51" s="303" t="e">
        <f>DC51/DC45</f>
        <v>#DIV/0!</v>
      </c>
      <c r="DE51" s="249"/>
      <c r="DF51" s="249"/>
      <c r="DG51" s="249"/>
      <c r="DH51" s="249"/>
      <c r="DI51" s="249"/>
      <c r="DJ51" s="297">
        <f t="shared" si="57"/>
        <v>0</v>
      </c>
      <c r="DK51" s="303" t="e">
        <f>DJ51/DJ45</f>
        <v>#DIV/0!</v>
      </c>
      <c r="DL51" s="249"/>
      <c r="DM51" s="249"/>
      <c r="DN51" s="249"/>
      <c r="DO51" s="249"/>
      <c r="DP51" s="249"/>
      <c r="DQ51" s="297">
        <f t="shared" si="58"/>
        <v>0</v>
      </c>
      <c r="DR51" s="303" t="e">
        <f>DQ51/DQ45</f>
        <v>#DIV/0!</v>
      </c>
      <c r="DS51" s="249"/>
      <c r="DT51" s="249"/>
      <c r="DU51" s="249"/>
      <c r="DV51" s="249"/>
      <c r="DW51" s="249"/>
      <c r="DX51" s="297">
        <f t="shared" si="59"/>
        <v>0</v>
      </c>
      <c r="DY51" s="303" t="e">
        <f>DX51/DX45</f>
        <v>#DIV/0!</v>
      </c>
      <c r="DZ51" s="249"/>
      <c r="EA51" s="249"/>
      <c r="EB51" s="249"/>
      <c r="EC51" s="249"/>
      <c r="ED51" s="249"/>
      <c r="EE51" s="297">
        <f t="shared" si="60"/>
        <v>0</v>
      </c>
      <c r="EF51" s="303" t="e">
        <f>EE51/EE45</f>
        <v>#DIV/0!</v>
      </c>
      <c r="EG51" s="249"/>
      <c r="EH51" s="249"/>
      <c r="EI51" s="249"/>
      <c r="EJ51" s="249"/>
      <c r="EK51" s="249"/>
      <c r="EL51" s="297">
        <f t="shared" si="61"/>
        <v>0</v>
      </c>
      <c r="EM51" s="303" t="e">
        <f>EL51/EL45</f>
        <v>#DIV/0!</v>
      </c>
      <c r="EN51" s="249"/>
      <c r="EO51" s="249"/>
      <c r="EP51" s="249"/>
      <c r="EQ51" s="249"/>
      <c r="ER51" s="249"/>
      <c r="ES51" s="297">
        <f t="shared" si="62"/>
        <v>0</v>
      </c>
      <c r="ET51" s="303" t="e">
        <f>ES51/ES45</f>
        <v>#DIV/0!</v>
      </c>
      <c r="EU51" s="249"/>
      <c r="EV51" s="249"/>
      <c r="EW51" s="249"/>
      <c r="EX51" s="249"/>
      <c r="EY51" s="249"/>
      <c r="EZ51" s="297">
        <f t="shared" si="63"/>
        <v>0</v>
      </c>
      <c r="FA51" s="303" t="e">
        <f>EZ51/EZ45</f>
        <v>#DIV/0!</v>
      </c>
      <c r="FB51" s="249"/>
      <c r="FC51" s="249"/>
      <c r="FD51" s="249"/>
      <c r="FE51" s="249"/>
      <c r="FF51" s="249"/>
      <c r="FG51" s="297">
        <f t="shared" si="64"/>
        <v>0</v>
      </c>
      <c r="FH51" s="303" t="e">
        <f>FG51/FG45</f>
        <v>#DIV/0!</v>
      </c>
      <c r="FI51" s="249"/>
      <c r="FJ51" s="249"/>
      <c r="FK51" s="249"/>
      <c r="FL51" s="249"/>
      <c r="FM51" s="249"/>
      <c r="FN51" s="297">
        <f t="shared" si="65"/>
        <v>0</v>
      </c>
      <c r="FO51" s="303" t="e">
        <f>FN51/FN45</f>
        <v>#DIV/0!</v>
      </c>
      <c r="FP51" s="249"/>
      <c r="FQ51" s="249"/>
      <c r="FR51" s="249"/>
      <c r="FS51" s="249"/>
      <c r="FT51" s="249"/>
      <c r="FU51" s="297">
        <f t="shared" si="66"/>
        <v>0</v>
      </c>
      <c r="FV51" s="303" t="e">
        <f>FU51/FU45</f>
        <v>#DIV/0!</v>
      </c>
      <c r="FW51" s="249"/>
      <c r="FX51" s="249"/>
      <c r="FY51" s="249"/>
      <c r="FZ51" s="249"/>
      <c r="GA51" s="249"/>
      <c r="GB51" s="297">
        <f t="shared" si="67"/>
        <v>0</v>
      </c>
      <c r="GC51" s="303" t="e">
        <f>GB51/GB45</f>
        <v>#DIV/0!</v>
      </c>
      <c r="GD51" s="249"/>
      <c r="GE51" s="249"/>
      <c r="GF51" s="249"/>
      <c r="GG51" s="249"/>
      <c r="GH51" s="249"/>
    </row>
    <row r="52" spans="1:190" ht="12.75">
      <c r="A52" s="306" t="s">
        <v>282</v>
      </c>
      <c r="B52" s="297">
        <f aca="true" t="shared" si="68" ref="B52:B58">SUM(B18:H18)</f>
        <v>48.3</v>
      </c>
      <c r="C52" s="303">
        <v>1</v>
      </c>
      <c r="D52" s="249"/>
      <c r="E52" s="249"/>
      <c r="F52" s="249"/>
      <c r="G52" s="249"/>
      <c r="H52" s="249"/>
      <c r="I52" s="297">
        <f aca="true" t="shared" si="69" ref="I52:I58">SUM(I18:O18)</f>
        <v>0</v>
      </c>
      <c r="J52" s="303">
        <v>1</v>
      </c>
      <c r="K52" s="249"/>
      <c r="L52" s="249"/>
      <c r="M52" s="249"/>
      <c r="N52" s="249"/>
      <c r="O52" s="249"/>
      <c r="P52" s="297">
        <f aca="true" t="shared" si="70" ref="P52:P58">SUM(P18:V18)</f>
        <v>0</v>
      </c>
      <c r="Q52" s="303">
        <v>1</v>
      </c>
      <c r="R52" s="249"/>
      <c r="S52" s="249"/>
      <c r="T52" s="249"/>
      <c r="U52" s="249"/>
      <c r="V52" s="249"/>
      <c r="W52" s="297">
        <f aca="true" t="shared" si="71" ref="W52:W58">SUM(W18:AC18)</f>
        <v>0</v>
      </c>
      <c r="X52" s="303">
        <v>1</v>
      </c>
      <c r="Y52" s="249"/>
      <c r="Z52" s="249"/>
      <c r="AA52" s="249"/>
      <c r="AB52" s="249"/>
      <c r="AC52" s="249"/>
      <c r="AD52" s="297">
        <f aca="true" t="shared" si="72" ref="AD52:AD58">SUM(AD18:AJ18)</f>
        <v>0</v>
      </c>
      <c r="AE52" s="303">
        <v>1</v>
      </c>
      <c r="AF52" s="249"/>
      <c r="AG52" s="249"/>
      <c r="AH52" s="249"/>
      <c r="AI52" s="249"/>
      <c r="AJ52" s="249"/>
      <c r="AK52" s="297">
        <f aca="true" t="shared" si="73" ref="AK52:AK58">SUM(AK18:AQ18)</f>
        <v>0</v>
      </c>
      <c r="AL52" s="303">
        <v>1</v>
      </c>
      <c r="AM52" s="249"/>
      <c r="AN52" s="249"/>
      <c r="AO52" s="249"/>
      <c r="AP52" s="249"/>
      <c r="AQ52" s="249"/>
      <c r="AR52" s="297">
        <f aca="true" t="shared" si="74" ref="AR52:AR58">SUM(AR18:AX18)</f>
        <v>0</v>
      </c>
      <c r="AS52" s="303">
        <v>1</v>
      </c>
      <c r="AT52" s="249"/>
      <c r="AU52" s="249"/>
      <c r="AV52" s="249"/>
      <c r="AW52" s="249"/>
      <c r="AX52" s="249"/>
      <c r="AY52" s="297">
        <f aca="true" t="shared" si="75" ref="AY52:AY58">SUM(AY18:BE18)</f>
        <v>0</v>
      </c>
      <c r="AZ52" s="303">
        <v>1</v>
      </c>
      <c r="BA52" s="249"/>
      <c r="BB52" s="249"/>
      <c r="BC52" s="249"/>
      <c r="BD52" s="249"/>
      <c r="BE52" s="249"/>
      <c r="BF52" s="297">
        <f aca="true" t="shared" si="76" ref="BF52:BF58">SUM(BF18:BL18)</f>
        <v>0</v>
      </c>
      <c r="BG52" s="303">
        <v>1</v>
      </c>
      <c r="BH52" s="249"/>
      <c r="BI52" s="249"/>
      <c r="BJ52" s="249"/>
      <c r="BK52" s="249"/>
      <c r="BL52" s="249"/>
      <c r="BM52" s="297">
        <f aca="true" t="shared" si="77" ref="BM52:BM58">SUM(BM18:BS18)</f>
        <v>0</v>
      </c>
      <c r="BN52" s="303">
        <v>1</v>
      </c>
      <c r="BO52" s="249"/>
      <c r="BP52" s="249"/>
      <c r="BQ52" s="249"/>
      <c r="BR52" s="249"/>
      <c r="BS52" s="249"/>
      <c r="BT52" s="297">
        <f aca="true" t="shared" si="78" ref="BT52:BT58">SUM(BT18:BZ18)</f>
        <v>0</v>
      </c>
      <c r="BU52" s="303">
        <v>1</v>
      </c>
      <c r="BV52" s="249"/>
      <c r="BW52" s="249"/>
      <c r="BX52" s="249"/>
      <c r="BY52" s="249"/>
      <c r="BZ52" s="249"/>
      <c r="CA52" s="297">
        <f aca="true" t="shared" si="79" ref="CA52:CA58">SUM(CA18:CG18)</f>
        <v>0</v>
      </c>
      <c r="CB52" s="303">
        <v>1</v>
      </c>
      <c r="CC52" s="249"/>
      <c r="CD52" s="249"/>
      <c r="CE52" s="249"/>
      <c r="CF52" s="249"/>
      <c r="CG52" s="249"/>
      <c r="CH52" s="297">
        <f aca="true" t="shared" si="80" ref="CH52:CH58">SUM(CH18:CN18)</f>
        <v>0</v>
      </c>
      <c r="CI52" s="303">
        <v>1</v>
      </c>
      <c r="CJ52" s="249"/>
      <c r="CK52" s="249"/>
      <c r="CL52" s="249"/>
      <c r="CM52" s="249"/>
      <c r="CN52" s="249"/>
      <c r="CO52" s="297">
        <f aca="true" t="shared" si="81" ref="CO52:CO58">SUM(CO18:CU18)</f>
        <v>0</v>
      </c>
      <c r="CP52" s="303">
        <v>1</v>
      </c>
      <c r="CQ52" s="249"/>
      <c r="CR52" s="249"/>
      <c r="CS52" s="249"/>
      <c r="CT52" s="249"/>
      <c r="CU52" s="249"/>
      <c r="CV52" s="297">
        <f aca="true" t="shared" si="82" ref="CV52:CV58">SUM(CV18:DB18)</f>
        <v>0</v>
      </c>
      <c r="CW52" s="303">
        <v>1</v>
      </c>
      <c r="CX52" s="249"/>
      <c r="CY52" s="249"/>
      <c r="CZ52" s="249"/>
      <c r="DA52" s="249"/>
      <c r="DB52" s="249"/>
      <c r="DC52" s="297">
        <f aca="true" t="shared" si="83" ref="DC52:DC58">SUM(DC18:DI18)</f>
        <v>0</v>
      </c>
      <c r="DD52" s="303">
        <v>1</v>
      </c>
      <c r="DE52" s="249"/>
      <c r="DF52" s="249"/>
      <c r="DG52" s="249"/>
      <c r="DH52" s="249"/>
      <c r="DI52" s="249"/>
      <c r="DJ52" s="297">
        <f aca="true" t="shared" si="84" ref="DJ52:DJ58">SUM(DJ18:DP18)</f>
        <v>0</v>
      </c>
      <c r="DK52" s="303">
        <v>1</v>
      </c>
      <c r="DL52" s="249"/>
      <c r="DM52" s="249"/>
      <c r="DN52" s="249"/>
      <c r="DO52" s="249"/>
      <c r="DP52" s="249"/>
      <c r="DQ52" s="297">
        <f aca="true" t="shared" si="85" ref="DQ52:DQ58">SUM(DQ18:DW18)</f>
        <v>0</v>
      </c>
      <c r="DR52" s="303">
        <v>1</v>
      </c>
      <c r="DS52" s="249"/>
      <c r="DT52" s="249"/>
      <c r="DU52" s="249"/>
      <c r="DV52" s="249"/>
      <c r="DW52" s="249"/>
      <c r="DX52" s="297">
        <f aca="true" t="shared" si="86" ref="DX52:DX58">SUM(DX18:ED18)</f>
        <v>0</v>
      </c>
      <c r="DY52" s="303">
        <v>1</v>
      </c>
      <c r="DZ52" s="249"/>
      <c r="EA52" s="249"/>
      <c r="EB52" s="249"/>
      <c r="EC52" s="249"/>
      <c r="ED52" s="249"/>
      <c r="EE52" s="297">
        <f aca="true" t="shared" si="87" ref="EE52:EE58">SUM(EE18:EK18)</f>
        <v>0</v>
      </c>
      <c r="EF52" s="303">
        <v>1</v>
      </c>
      <c r="EG52" s="249"/>
      <c r="EH52" s="249"/>
      <c r="EI52" s="249"/>
      <c r="EJ52" s="249"/>
      <c r="EK52" s="249"/>
      <c r="EL52" s="297">
        <f aca="true" t="shared" si="88" ref="EL52:EL58">SUM(EL18:ER18)</f>
        <v>0</v>
      </c>
      <c r="EM52" s="303">
        <v>1</v>
      </c>
      <c r="EN52" s="249"/>
      <c r="EO52" s="249"/>
      <c r="EP52" s="249"/>
      <c r="EQ52" s="249"/>
      <c r="ER52" s="249"/>
      <c r="ES52" s="297">
        <f aca="true" t="shared" si="89" ref="ES52:ES58">SUM(ES18:EY18)</f>
        <v>0</v>
      </c>
      <c r="ET52" s="303">
        <v>1</v>
      </c>
      <c r="EU52" s="249"/>
      <c r="EV52" s="249"/>
      <c r="EW52" s="249"/>
      <c r="EX52" s="249"/>
      <c r="EY52" s="249"/>
      <c r="EZ52" s="297">
        <f aca="true" t="shared" si="90" ref="EZ52:EZ58">SUM(EZ18:FF18)</f>
        <v>0</v>
      </c>
      <c r="FA52" s="303">
        <v>1</v>
      </c>
      <c r="FB52" s="249"/>
      <c r="FC52" s="249"/>
      <c r="FD52" s="249"/>
      <c r="FE52" s="249"/>
      <c r="FF52" s="249"/>
      <c r="FG52" s="297">
        <f aca="true" t="shared" si="91" ref="FG52:FG58">SUM(FG18:FM18)</f>
        <v>0</v>
      </c>
      <c r="FH52" s="303">
        <v>1</v>
      </c>
      <c r="FI52" s="249"/>
      <c r="FJ52" s="249"/>
      <c r="FK52" s="249"/>
      <c r="FL52" s="249"/>
      <c r="FM52" s="249"/>
      <c r="FN52" s="297">
        <f aca="true" t="shared" si="92" ref="FN52:FN58">SUM(FN18:FT18)</f>
        <v>0</v>
      </c>
      <c r="FO52" s="303">
        <v>1</v>
      </c>
      <c r="FP52" s="249"/>
      <c r="FQ52" s="249"/>
      <c r="FR52" s="249"/>
      <c r="FS52" s="249"/>
      <c r="FT52" s="249"/>
      <c r="FU52" s="297">
        <f aca="true" t="shared" si="93" ref="FU52:FU58">SUM(FU18:GA18)</f>
        <v>0</v>
      </c>
      <c r="FV52" s="303">
        <v>1</v>
      </c>
      <c r="FW52" s="249"/>
      <c r="FX52" s="249"/>
      <c r="FY52" s="249"/>
      <c r="FZ52" s="249"/>
      <c r="GA52" s="249"/>
      <c r="GB52" s="297">
        <f aca="true" t="shared" si="94" ref="GB52:GB58">SUM(GB18:GH18)</f>
        <v>0</v>
      </c>
      <c r="GC52" s="303">
        <v>1</v>
      </c>
      <c r="GD52" s="249"/>
      <c r="GE52" s="249"/>
      <c r="GF52" s="249"/>
      <c r="GG52" s="249"/>
      <c r="GH52" s="249"/>
    </row>
    <row r="53" spans="1:190" ht="12.75">
      <c r="A53" s="304" t="s">
        <v>278</v>
      </c>
      <c r="B53" s="297">
        <f t="shared" si="68"/>
        <v>45</v>
      </c>
      <c r="C53" s="303">
        <f>B53/B52</f>
        <v>0.9316770186335405</v>
      </c>
      <c r="D53" s="249"/>
      <c r="E53" s="249"/>
      <c r="F53" s="249"/>
      <c r="G53" s="249"/>
      <c r="H53" s="249"/>
      <c r="I53" s="297">
        <f t="shared" si="69"/>
        <v>0</v>
      </c>
      <c r="J53" s="303" t="e">
        <f>I53/I52</f>
        <v>#DIV/0!</v>
      </c>
      <c r="K53" s="249"/>
      <c r="L53" s="249"/>
      <c r="M53" s="249"/>
      <c r="N53" s="249"/>
      <c r="O53" s="249"/>
      <c r="P53" s="297">
        <f t="shared" si="70"/>
        <v>0</v>
      </c>
      <c r="Q53" s="303" t="e">
        <f>P53/P52</f>
        <v>#DIV/0!</v>
      </c>
      <c r="R53" s="249"/>
      <c r="S53" s="249"/>
      <c r="T53" s="249"/>
      <c r="U53" s="249"/>
      <c r="V53" s="249"/>
      <c r="W53" s="297">
        <f t="shared" si="71"/>
        <v>0</v>
      </c>
      <c r="X53" s="303" t="e">
        <f>W53/W52</f>
        <v>#DIV/0!</v>
      </c>
      <c r="Y53" s="249"/>
      <c r="Z53" s="249"/>
      <c r="AA53" s="249"/>
      <c r="AB53" s="249"/>
      <c r="AC53" s="249"/>
      <c r="AD53" s="297">
        <f t="shared" si="72"/>
        <v>0</v>
      </c>
      <c r="AE53" s="303" t="e">
        <f>AD53/AD52</f>
        <v>#DIV/0!</v>
      </c>
      <c r="AF53" s="249"/>
      <c r="AG53" s="249"/>
      <c r="AH53" s="249"/>
      <c r="AI53" s="249"/>
      <c r="AJ53" s="249"/>
      <c r="AK53" s="297">
        <f t="shared" si="73"/>
        <v>0</v>
      </c>
      <c r="AL53" s="303" t="e">
        <f>AK53/AK52</f>
        <v>#DIV/0!</v>
      </c>
      <c r="AM53" s="249"/>
      <c r="AN53" s="249"/>
      <c r="AO53" s="249"/>
      <c r="AP53" s="249"/>
      <c r="AQ53" s="249"/>
      <c r="AR53" s="297">
        <f t="shared" si="74"/>
        <v>0</v>
      </c>
      <c r="AS53" s="303" t="e">
        <f>AR53/AR52</f>
        <v>#DIV/0!</v>
      </c>
      <c r="AT53" s="249"/>
      <c r="AU53" s="249"/>
      <c r="AV53" s="249"/>
      <c r="AW53" s="249"/>
      <c r="AX53" s="249"/>
      <c r="AY53" s="297">
        <f t="shared" si="75"/>
        <v>0</v>
      </c>
      <c r="AZ53" s="303" t="e">
        <f>AY53/AY52</f>
        <v>#DIV/0!</v>
      </c>
      <c r="BA53" s="249"/>
      <c r="BB53" s="249"/>
      <c r="BC53" s="249"/>
      <c r="BD53" s="249"/>
      <c r="BE53" s="249"/>
      <c r="BF53" s="297">
        <f t="shared" si="76"/>
        <v>0</v>
      </c>
      <c r="BG53" s="303" t="e">
        <f>BF53/BF52</f>
        <v>#DIV/0!</v>
      </c>
      <c r="BH53" s="249"/>
      <c r="BI53" s="249"/>
      <c r="BJ53" s="249"/>
      <c r="BK53" s="249"/>
      <c r="BL53" s="249"/>
      <c r="BM53" s="297">
        <f t="shared" si="77"/>
        <v>0</v>
      </c>
      <c r="BN53" s="303" t="e">
        <f>BM53/BM52</f>
        <v>#DIV/0!</v>
      </c>
      <c r="BO53" s="249"/>
      <c r="BP53" s="249"/>
      <c r="BQ53" s="249"/>
      <c r="BR53" s="249"/>
      <c r="BS53" s="249"/>
      <c r="BT53" s="297">
        <f t="shared" si="78"/>
        <v>0</v>
      </c>
      <c r="BU53" s="303" t="e">
        <f>BT53/BT52</f>
        <v>#DIV/0!</v>
      </c>
      <c r="BV53" s="249"/>
      <c r="BW53" s="249"/>
      <c r="BX53" s="249"/>
      <c r="BY53" s="249"/>
      <c r="BZ53" s="249"/>
      <c r="CA53" s="297">
        <f t="shared" si="79"/>
        <v>0</v>
      </c>
      <c r="CB53" s="303" t="e">
        <f>CA53/CA52</f>
        <v>#DIV/0!</v>
      </c>
      <c r="CC53" s="249"/>
      <c r="CD53" s="249"/>
      <c r="CE53" s="249"/>
      <c r="CF53" s="249"/>
      <c r="CG53" s="249"/>
      <c r="CH53" s="297">
        <f t="shared" si="80"/>
        <v>0</v>
      </c>
      <c r="CI53" s="303" t="e">
        <f>CH53/CH52</f>
        <v>#DIV/0!</v>
      </c>
      <c r="CJ53" s="249"/>
      <c r="CK53" s="249"/>
      <c r="CL53" s="249"/>
      <c r="CM53" s="249"/>
      <c r="CN53" s="249"/>
      <c r="CO53" s="297">
        <f t="shared" si="81"/>
        <v>0</v>
      </c>
      <c r="CP53" s="303" t="e">
        <f>CO53/CO52</f>
        <v>#DIV/0!</v>
      </c>
      <c r="CQ53" s="249"/>
      <c r="CR53" s="249"/>
      <c r="CS53" s="249"/>
      <c r="CT53" s="249"/>
      <c r="CU53" s="249"/>
      <c r="CV53" s="297">
        <f t="shared" si="82"/>
        <v>0</v>
      </c>
      <c r="CW53" s="303" t="e">
        <f>CV53/CV52</f>
        <v>#DIV/0!</v>
      </c>
      <c r="CX53" s="249"/>
      <c r="CY53" s="249"/>
      <c r="CZ53" s="249"/>
      <c r="DA53" s="249"/>
      <c r="DB53" s="249"/>
      <c r="DC53" s="297">
        <f t="shared" si="83"/>
        <v>0</v>
      </c>
      <c r="DD53" s="303" t="e">
        <f>DC53/DC52</f>
        <v>#DIV/0!</v>
      </c>
      <c r="DE53" s="249"/>
      <c r="DF53" s="249"/>
      <c r="DG53" s="249"/>
      <c r="DH53" s="249"/>
      <c r="DI53" s="249"/>
      <c r="DJ53" s="297">
        <f t="shared" si="84"/>
        <v>0</v>
      </c>
      <c r="DK53" s="303" t="e">
        <f>DJ53/DJ52</f>
        <v>#DIV/0!</v>
      </c>
      <c r="DL53" s="249"/>
      <c r="DM53" s="249"/>
      <c r="DN53" s="249"/>
      <c r="DO53" s="249"/>
      <c r="DP53" s="249"/>
      <c r="DQ53" s="297">
        <f t="shared" si="85"/>
        <v>0</v>
      </c>
      <c r="DR53" s="303" t="e">
        <f>DQ53/DQ52</f>
        <v>#DIV/0!</v>
      </c>
      <c r="DS53" s="249"/>
      <c r="DT53" s="249"/>
      <c r="DU53" s="249"/>
      <c r="DV53" s="249"/>
      <c r="DW53" s="249"/>
      <c r="DX53" s="297">
        <f t="shared" si="86"/>
        <v>0</v>
      </c>
      <c r="DY53" s="303" t="e">
        <f>DX53/DX52</f>
        <v>#DIV/0!</v>
      </c>
      <c r="DZ53" s="249"/>
      <c r="EA53" s="249"/>
      <c r="EB53" s="249"/>
      <c r="EC53" s="249"/>
      <c r="ED53" s="249"/>
      <c r="EE53" s="297">
        <f t="shared" si="87"/>
        <v>0</v>
      </c>
      <c r="EF53" s="303" t="e">
        <f>EE53/EE52</f>
        <v>#DIV/0!</v>
      </c>
      <c r="EG53" s="249"/>
      <c r="EH53" s="249"/>
      <c r="EI53" s="249"/>
      <c r="EJ53" s="249"/>
      <c r="EK53" s="249"/>
      <c r="EL53" s="297">
        <f t="shared" si="88"/>
        <v>0</v>
      </c>
      <c r="EM53" s="303" t="e">
        <f>EL53/EL52</f>
        <v>#DIV/0!</v>
      </c>
      <c r="EN53" s="249"/>
      <c r="EO53" s="249"/>
      <c r="EP53" s="249"/>
      <c r="EQ53" s="249"/>
      <c r="ER53" s="249"/>
      <c r="ES53" s="297">
        <f t="shared" si="89"/>
        <v>0</v>
      </c>
      <c r="ET53" s="303" t="e">
        <f>ES53/ES52</f>
        <v>#DIV/0!</v>
      </c>
      <c r="EU53" s="249"/>
      <c r="EV53" s="249"/>
      <c r="EW53" s="249"/>
      <c r="EX53" s="249"/>
      <c r="EY53" s="249"/>
      <c r="EZ53" s="297">
        <f t="shared" si="90"/>
        <v>0</v>
      </c>
      <c r="FA53" s="303" t="e">
        <f>EZ53/EZ52</f>
        <v>#DIV/0!</v>
      </c>
      <c r="FB53" s="249"/>
      <c r="FC53" s="249"/>
      <c r="FD53" s="249"/>
      <c r="FE53" s="249"/>
      <c r="FF53" s="249"/>
      <c r="FG53" s="297">
        <f t="shared" si="91"/>
        <v>0</v>
      </c>
      <c r="FH53" s="303" t="e">
        <f>FG53/FG52</f>
        <v>#DIV/0!</v>
      </c>
      <c r="FI53" s="249"/>
      <c r="FJ53" s="249"/>
      <c r="FK53" s="249"/>
      <c r="FL53" s="249"/>
      <c r="FM53" s="249"/>
      <c r="FN53" s="297">
        <f t="shared" si="92"/>
        <v>0</v>
      </c>
      <c r="FO53" s="303" t="e">
        <f>FN53/FN52</f>
        <v>#DIV/0!</v>
      </c>
      <c r="FP53" s="249"/>
      <c r="FQ53" s="249"/>
      <c r="FR53" s="249"/>
      <c r="FS53" s="249"/>
      <c r="FT53" s="249"/>
      <c r="FU53" s="297">
        <f t="shared" si="93"/>
        <v>0</v>
      </c>
      <c r="FV53" s="303" t="e">
        <f>FU53/FU52</f>
        <v>#DIV/0!</v>
      </c>
      <c r="FW53" s="249"/>
      <c r="FX53" s="249"/>
      <c r="FY53" s="249"/>
      <c r="FZ53" s="249"/>
      <c r="GA53" s="249"/>
      <c r="GB53" s="297">
        <f t="shared" si="94"/>
        <v>0</v>
      </c>
      <c r="GC53" s="303" t="e">
        <f>GB53/GB52</f>
        <v>#DIV/0!</v>
      </c>
      <c r="GD53" s="249"/>
      <c r="GE53" s="249"/>
      <c r="GF53" s="249"/>
      <c r="GG53" s="249"/>
      <c r="GH53" s="249"/>
    </row>
    <row r="54" spans="1:190" ht="12.75">
      <c r="A54" s="304" t="s">
        <v>1</v>
      </c>
      <c r="B54" s="297">
        <f t="shared" si="68"/>
        <v>3.3</v>
      </c>
      <c r="C54" s="303">
        <f>B54/B52</f>
        <v>0.06832298136645963</v>
      </c>
      <c r="D54" s="249"/>
      <c r="E54" s="249"/>
      <c r="F54" s="249"/>
      <c r="G54" s="249"/>
      <c r="H54" s="249"/>
      <c r="I54" s="297">
        <f t="shared" si="69"/>
        <v>0</v>
      </c>
      <c r="J54" s="303" t="e">
        <f>I54/I52</f>
        <v>#DIV/0!</v>
      </c>
      <c r="K54" s="249"/>
      <c r="L54" s="249"/>
      <c r="M54" s="249"/>
      <c r="N54" s="249"/>
      <c r="O54" s="249"/>
      <c r="P54" s="297">
        <f t="shared" si="70"/>
        <v>0</v>
      </c>
      <c r="Q54" s="303" t="e">
        <f>P54/P52</f>
        <v>#DIV/0!</v>
      </c>
      <c r="R54" s="249"/>
      <c r="S54" s="249"/>
      <c r="T54" s="249"/>
      <c r="U54" s="249"/>
      <c r="V54" s="249"/>
      <c r="W54" s="297">
        <f t="shared" si="71"/>
        <v>0</v>
      </c>
      <c r="X54" s="303" t="e">
        <f>W54/W52</f>
        <v>#DIV/0!</v>
      </c>
      <c r="Y54" s="249"/>
      <c r="Z54" s="249"/>
      <c r="AA54" s="249"/>
      <c r="AB54" s="249"/>
      <c r="AC54" s="249"/>
      <c r="AD54" s="297">
        <f t="shared" si="72"/>
        <v>0</v>
      </c>
      <c r="AE54" s="303" t="e">
        <f>AD54/AD52</f>
        <v>#DIV/0!</v>
      </c>
      <c r="AF54" s="249"/>
      <c r="AG54" s="249"/>
      <c r="AH54" s="249"/>
      <c r="AI54" s="249"/>
      <c r="AJ54" s="249"/>
      <c r="AK54" s="297">
        <f t="shared" si="73"/>
        <v>0</v>
      </c>
      <c r="AL54" s="303" t="e">
        <f>AK54/AK52</f>
        <v>#DIV/0!</v>
      </c>
      <c r="AM54" s="249"/>
      <c r="AN54" s="249"/>
      <c r="AO54" s="249"/>
      <c r="AP54" s="249"/>
      <c r="AQ54" s="249"/>
      <c r="AR54" s="297">
        <f t="shared" si="74"/>
        <v>0</v>
      </c>
      <c r="AS54" s="303" t="e">
        <f>AR54/AR52</f>
        <v>#DIV/0!</v>
      </c>
      <c r="AT54" s="249"/>
      <c r="AU54" s="249"/>
      <c r="AV54" s="249"/>
      <c r="AW54" s="249"/>
      <c r="AX54" s="249"/>
      <c r="AY54" s="297">
        <f t="shared" si="75"/>
        <v>0</v>
      </c>
      <c r="AZ54" s="303" t="e">
        <f>AY54/AY52</f>
        <v>#DIV/0!</v>
      </c>
      <c r="BA54" s="249"/>
      <c r="BB54" s="249"/>
      <c r="BC54" s="249"/>
      <c r="BD54" s="249"/>
      <c r="BE54" s="249"/>
      <c r="BF54" s="297">
        <f t="shared" si="76"/>
        <v>0</v>
      </c>
      <c r="BG54" s="303" t="e">
        <f>BF54/BF52</f>
        <v>#DIV/0!</v>
      </c>
      <c r="BH54" s="249"/>
      <c r="BI54" s="249"/>
      <c r="BJ54" s="249"/>
      <c r="BK54" s="249"/>
      <c r="BL54" s="249"/>
      <c r="BM54" s="297">
        <f t="shared" si="77"/>
        <v>0</v>
      </c>
      <c r="BN54" s="303" t="e">
        <f>BM54/BM52</f>
        <v>#DIV/0!</v>
      </c>
      <c r="BO54" s="249"/>
      <c r="BP54" s="249"/>
      <c r="BQ54" s="249"/>
      <c r="BR54" s="249"/>
      <c r="BS54" s="249"/>
      <c r="BT54" s="297">
        <f t="shared" si="78"/>
        <v>0</v>
      </c>
      <c r="BU54" s="303" t="e">
        <f>BT54/BT52</f>
        <v>#DIV/0!</v>
      </c>
      <c r="BV54" s="249"/>
      <c r="BW54" s="249"/>
      <c r="BX54" s="249"/>
      <c r="BY54" s="249"/>
      <c r="BZ54" s="249"/>
      <c r="CA54" s="297">
        <f t="shared" si="79"/>
        <v>0</v>
      </c>
      <c r="CB54" s="303" t="e">
        <f>CA54/CA52</f>
        <v>#DIV/0!</v>
      </c>
      <c r="CC54" s="249"/>
      <c r="CD54" s="249"/>
      <c r="CE54" s="249"/>
      <c r="CF54" s="249"/>
      <c r="CG54" s="249"/>
      <c r="CH54" s="297">
        <f t="shared" si="80"/>
        <v>0</v>
      </c>
      <c r="CI54" s="303" t="e">
        <f>CH54/CH52</f>
        <v>#DIV/0!</v>
      </c>
      <c r="CJ54" s="249"/>
      <c r="CK54" s="249"/>
      <c r="CL54" s="249"/>
      <c r="CM54" s="249"/>
      <c r="CN54" s="249"/>
      <c r="CO54" s="297">
        <f t="shared" si="81"/>
        <v>0</v>
      </c>
      <c r="CP54" s="303" t="e">
        <f>CO54/CO52</f>
        <v>#DIV/0!</v>
      </c>
      <c r="CQ54" s="249"/>
      <c r="CR54" s="249"/>
      <c r="CS54" s="249"/>
      <c r="CT54" s="249"/>
      <c r="CU54" s="249"/>
      <c r="CV54" s="297">
        <f t="shared" si="82"/>
        <v>0</v>
      </c>
      <c r="CW54" s="303" t="e">
        <f>CV54/CV52</f>
        <v>#DIV/0!</v>
      </c>
      <c r="CX54" s="249"/>
      <c r="CY54" s="249"/>
      <c r="CZ54" s="249"/>
      <c r="DA54" s="249"/>
      <c r="DB54" s="249"/>
      <c r="DC54" s="297">
        <f t="shared" si="83"/>
        <v>0</v>
      </c>
      <c r="DD54" s="303" t="e">
        <f>DC54/DC52</f>
        <v>#DIV/0!</v>
      </c>
      <c r="DE54" s="249"/>
      <c r="DF54" s="249"/>
      <c r="DG54" s="249"/>
      <c r="DH54" s="249"/>
      <c r="DI54" s="249"/>
      <c r="DJ54" s="297">
        <f t="shared" si="84"/>
        <v>0</v>
      </c>
      <c r="DK54" s="303" t="e">
        <f>DJ54/DJ52</f>
        <v>#DIV/0!</v>
      </c>
      <c r="DL54" s="249"/>
      <c r="DM54" s="249"/>
      <c r="DN54" s="249"/>
      <c r="DO54" s="249"/>
      <c r="DP54" s="249"/>
      <c r="DQ54" s="297">
        <f t="shared" si="85"/>
        <v>0</v>
      </c>
      <c r="DR54" s="303" t="e">
        <f>DQ54/DQ52</f>
        <v>#DIV/0!</v>
      </c>
      <c r="DS54" s="249"/>
      <c r="DT54" s="249"/>
      <c r="DU54" s="249"/>
      <c r="DV54" s="249"/>
      <c r="DW54" s="249"/>
      <c r="DX54" s="297">
        <f t="shared" si="86"/>
        <v>0</v>
      </c>
      <c r="DY54" s="303" t="e">
        <f>DX54/DX52</f>
        <v>#DIV/0!</v>
      </c>
      <c r="DZ54" s="249"/>
      <c r="EA54" s="249"/>
      <c r="EB54" s="249"/>
      <c r="EC54" s="249"/>
      <c r="ED54" s="249"/>
      <c r="EE54" s="297">
        <f t="shared" si="87"/>
        <v>0</v>
      </c>
      <c r="EF54" s="303" t="e">
        <f>EE54/EE52</f>
        <v>#DIV/0!</v>
      </c>
      <c r="EG54" s="249"/>
      <c r="EH54" s="249"/>
      <c r="EI54" s="249"/>
      <c r="EJ54" s="249"/>
      <c r="EK54" s="249"/>
      <c r="EL54" s="297">
        <f t="shared" si="88"/>
        <v>0</v>
      </c>
      <c r="EM54" s="303" t="e">
        <f>EL54/EL52</f>
        <v>#DIV/0!</v>
      </c>
      <c r="EN54" s="249"/>
      <c r="EO54" s="249"/>
      <c r="EP54" s="249"/>
      <c r="EQ54" s="249"/>
      <c r="ER54" s="249"/>
      <c r="ES54" s="297">
        <f t="shared" si="89"/>
        <v>0</v>
      </c>
      <c r="ET54" s="303" t="e">
        <f>ES54/ES52</f>
        <v>#DIV/0!</v>
      </c>
      <c r="EU54" s="249"/>
      <c r="EV54" s="249"/>
      <c r="EW54" s="249"/>
      <c r="EX54" s="249"/>
      <c r="EY54" s="249"/>
      <c r="EZ54" s="297">
        <f t="shared" si="90"/>
        <v>0</v>
      </c>
      <c r="FA54" s="303" t="e">
        <f>EZ54/EZ52</f>
        <v>#DIV/0!</v>
      </c>
      <c r="FB54" s="249"/>
      <c r="FC54" s="249"/>
      <c r="FD54" s="249"/>
      <c r="FE54" s="249"/>
      <c r="FF54" s="249"/>
      <c r="FG54" s="297">
        <f t="shared" si="91"/>
        <v>0</v>
      </c>
      <c r="FH54" s="303" t="e">
        <f>FG54/FG52</f>
        <v>#DIV/0!</v>
      </c>
      <c r="FI54" s="249"/>
      <c r="FJ54" s="249"/>
      <c r="FK54" s="249"/>
      <c r="FL54" s="249"/>
      <c r="FM54" s="249"/>
      <c r="FN54" s="297">
        <f t="shared" si="92"/>
        <v>0</v>
      </c>
      <c r="FO54" s="303" t="e">
        <f>FN54/FN52</f>
        <v>#DIV/0!</v>
      </c>
      <c r="FP54" s="249"/>
      <c r="FQ54" s="249"/>
      <c r="FR54" s="249"/>
      <c r="FS54" s="249"/>
      <c r="FT54" s="249"/>
      <c r="FU54" s="297">
        <f t="shared" si="93"/>
        <v>0</v>
      </c>
      <c r="FV54" s="303" t="e">
        <f>FU54/FU52</f>
        <v>#DIV/0!</v>
      </c>
      <c r="FW54" s="249"/>
      <c r="FX54" s="249"/>
      <c r="FY54" s="249"/>
      <c r="FZ54" s="249"/>
      <c r="GA54" s="249"/>
      <c r="GB54" s="297">
        <f t="shared" si="94"/>
        <v>0</v>
      </c>
      <c r="GC54" s="303" t="e">
        <f>GB54/GB52</f>
        <v>#DIV/0!</v>
      </c>
      <c r="GD54" s="249"/>
      <c r="GE54" s="249"/>
      <c r="GF54" s="249"/>
      <c r="GG54" s="249"/>
      <c r="GH54" s="249"/>
    </row>
    <row r="55" spans="1:190" ht="12.75">
      <c r="A55" s="304" t="s">
        <v>260</v>
      </c>
      <c r="B55" s="297">
        <f t="shared" si="68"/>
        <v>0</v>
      </c>
      <c r="C55" s="303">
        <f>B55/B52</f>
        <v>0</v>
      </c>
      <c r="D55" s="249"/>
      <c r="E55" s="249"/>
      <c r="F55" s="249"/>
      <c r="G55" s="249"/>
      <c r="H55" s="249"/>
      <c r="I55" s="297">
        <f t="shared" si="69"/>
        <v>0</v>
      </c>
      <c r="J55" s="303" t="e">
        <f>I55/I52</f>
        <v>#DIV/0!</v>
      </c>
      <c r="K55" s="249"/>
      <c r="L55" s="249"/>
      <c r="M55" s="249"/>
      <c r="N55" s="249"/>
      <c r="O55" s="249"/>
      <c r="P55" s="297">
        <f t="shared" si="70"/>
        <v>0</v>
      </c>
      <c r="Q55" s="303" t="e">
        <f>P55/P52</f>
        <v>#DIV/0!</v>
      </c>
      <c r="R55" s="249"/>
      <c r="S55" s="249"/>
      <c r="T55" s="249"/>
      <c r="U55" s="249"/>
      <c r="V55" s="249"/>
      <c r="W55" s="297">
        <f t="shared" si="71"/>
        <v>0</v>
      </c>
      <c r="X55" s="303" t="e">
        <f>W55/W52</f>
        <v>#DIV/0!</v>
      </c>
      <c r="Y55" s="249"/>
      <c r="Z55" s="249"/>
      <c r="AA55" s="249"/>
      <c r="AB55" s="249"/>
      <c r="AC55" s="249"/>
      <c r="AD55" s="297">
        <f t="shared" si="72"/>
        <v>0</v>
      </c>
      <c r="AE55" s="303" t="e">
        <f>AD55/AD52</f>
        <v>#DIV/0!</v>
      </c>
      <c r="AF55" s="249"/>
      <c r="AG55" s="249"/>
      <c r="AH55" s="249"/>
      <c r="AI55" s="249"/>
      <c r="AJ55" s="249"/>
      <c r="AK55" s="297">
        <f t="shared" si="73"/>
        <v>0</v>
      </c>
      <c r="AL55" s="303" t="e">
        <f>AK55/AK52</f>
        <v>#DIV/0!</v>
      </c>
      <c r="AM55" s="249"/>
      <c r="AN55" s="249"/>
      <c r="AO55" s="249"/>
      <c r="AP55" s="249"/>
      <c r="AQ55" s="249"/>
      <c r="AR55" s="297">
        <f t="shared" si="74"/>
        <v>0</v>
      </c>
      <c r="AS55" s="303" t="e">
        <f>AR55/AR52</f>
        <v>#DIV/0!</v>
      </c>
      <c r="AT55" s="249"/>
      <c r="AU55" s="249"/>
      <c r="AV55" s="249"/>
      <c r="AW55" s="249"/>
      <c r="AX55" s="249"/>
      <c r="AY55" s="297">
        <f t="shared" si="75"/>
        <v>0</v>
      </c>
      <c r="AZ55" s="303" t="e">
        <f>AY55/AY52</f>
        <v>#DIV/0!</v>
      </c>
      <c r="BA55" s="249"/>
      <c r="BB55" s="249"/>
      <c r="BC55" s="249"/>
      <c r="BD55" s="249"/>
      <c r="BE55" s="249"/>
      <c r="BF55" s="297">
        <f t="shared" si="76"/>
        <v>0</v>
      </c>
      <c r="BG55" s="303" t="e">
        <f>BF55/BF52</f>
        <v>#DIV/0!</v>
      </c>
      <c r="BH55" s="249"/>
      <c r="BI55" s="249"/>
      <c r="BJ55" s="249"/>
      <c r="BK55" s="249"/>
      <c r="BL55" s="249"/>
      <c r="BM55" s="297">
        <f t="shared" si="77"/>
        <v>0</v>
      </c>
      <c r="BN55" s="303" t="e">
        <f>BM55/BM52</f>
        <v>#DIV/0!</v>
      </c>
      <c r="BO55" s="249"/>
      <c r="BP55" s="249"/>
      <c r="BQ55" s="249"/>
      <c r="BR55" s="249"/>
      <c r="BS55" s="249"/>
      <c r="BT55" s="297">
        <f t="shared" si="78"/>
        <v>0</v>
      </c>
      <c r="BU55" s="303" t="e">
        <f>BT55/BT52</f>
        <v>#DIV/0!</v>
      </c>
      <c r="BV55" s="249"/>
      <c r="BW55" s="249"/>
      <c r="BX55" s="249"/>
      <c r="BY55" s="249"/>
      <c r="BZ55" s="249"/>
      <c r="CA55" s="297">
        <f t="shared" si="79"/>
        <v>0</v>
      </c>
      <c r="CB55" s="303" t="e">
        <f>CA55/CA52</f>
        <v>#DIV/0!</v>
      </c>
      <c r="CC55" s="249"/>
      <c r="CD55" s="249"/>
      <c r="CE55" s="249"/>
      <c r="CF55" s="249"/>
      <c r="CG55" s="249"/>
      <c r="CH55" s="297">
        <f t="shared" si="80"/>
        <v>0</v>
      </c>
      <c r="CI55" s="303" t="e">
        <f>CH55/CH52</f>
        <v>#DIV/0!</v>
      </c>
      <c r="CJ55" s="249"/>
      <c r="CK55" s="249"/>
      <c r="CL55" s="249"/>
      <c r="CM55" s="249"/>
      <c r="CN55" s="249"/>
      <c r="CO55" s="297">
        <f t="shared" si="81"/>
        <v>0</v>
      </c>
      <c r="CP55" s="303" t="e">
        <f>CO55/CO52</f>
        <v>#DIV/0!</v>
      </c>
      <c r="CQ55" s="249"/>
      <c r="CR55" s="249"/>
      <c r="CS55" s="249"/>
      <c r="CT55" s="249"/>
      <c r="CU55" s="249"/>
      <c r="CV55" s="297">
        <f t="shared" si="82"/>
        <v>0</v>
      </c>
      <c r="CW55" s="303" t="e">
        <f>CV55/CV52</f>
        <v>#DIV/0!</v>
      </c>
      <c r="CX55" s="249"/>
      <c r="CY55" s="249"/>
      <c r="CZ55" s="249"/>
      <c r="DA55" s="249"/>
      <c r="DB55" s="249"/>
      <c r="DC55" s="297">
        <f t="shared" si="83"/>
        <v>0</v>
      </c>
      <c r="DD55" s="303" t="e">
        <f>DC55/DC52</f>
        <v>#DIV/0!</v>
      </c>
      <c r="DE55" s="249"/>
      <c r="DF55" s="249"/>
      <c r="DG55" s="249"/>
      <c r="DH55" s="249"/>
      <c r="DI55" s="249"/>
      <c r="DJ55" s="297">
        <f t="shared" si="84"/>
        <v>0</v>
      </c>
      <c r="DK55" s="303" t="e">
        <f>DJ55/DJ52</f>
        <v>#DIV/0!</v>
      </c>
      <c r="DL55" s="249"/>
      <c r="DM55" s="249"/>
      <c r="DN55" s="249"/>
      <c r="DO55" s="249"/>
      <c r="DP55" s="249"/>
      <c r="DQ55" s="297">
        <f t="shared" si="85"/>
        <v>0</v>
      </c>
      <c r="DR55" s="303" t="e">
        <f>DQ55/DQ52</f>
        <v>#DIV/0!</v>
      </c>
      <c r="DS55" s="249"/>
      <c r="DT55" s="249"/>
      <c r="DU55" s="249"/>
      <c r="DV55" s="249"/>
      <c r="DW55" s="249"/>
      <c r="DX55" s="297">
        <f t="shared" si="86"/>
        <v>0</v>
      </c>
      <c r="DY55" s="303" t="e">
        <f>DX55/DX52</f>
        <v>#DIV/0!</v>
      </c>
      <c r="DZ55" s="249"/>
      <c r="EA55" s="249"/>
      <c r="EB55" s="249"/>
      <c r="EC55" s="249"/>
      <c r="ED55" s="249"/>
      <c r="EE55" s="297">
        <f t="shared" si="87"/>
        <v>0</v>
      </c>
      <c r="EF55" s="303" t="e">
        <f>EE55/EE52</f>
        <v>#DIV/0!</v>
      </c>
      <c r="EG55" s="249"/>
      <c r="EH55" s="249"/>
      <c r="EI55" s="249"/>
      <c r="EJ55" s="249"/>
      <c r="EK55" s="249"/>
      <c r="EL55" s="297">
        <f t="shared" si="88"/>
        <v>0</v>
      </c>
      <c r="EM55" s="303" t="e">
        <f>EL55/EL52</f>
        <v>#DIV/0!</v>
      </c>
      <c r="EN55" s="249"/>
      <c r="EO55" s="249"/>
      <c r="EP55" s="249"/>
      <c r="EQ55" s="249"/>
      <c r="ER55" s="249"/>
      <c r="ES55" s="297">
        <f t="shared" si="89"/>
        <v>0</v>
      </c>
      <c r="ET55" s="303" t="e">
        <f>ES55/ES52</f>
        <v>#DIV/0!</v>
      </c>
      <c r="EU55" s="249"/>
      <c r="EV55" s="249"/>
      <c r="EW55" s="249"/>
      <c r="EX55" s="249"/>
      <c r="EY55" s="249"/>
      <c r="EZ55" s="297">
        <f t="shared" si="90"/>
        <v>0</v>
      </c>
      <c r="FA55" s="303" t="e">
        <f>EZ55/EZ52</f>
        <v>#DIV/0!</v>
      </c>
      <c r="FB55" s="249"/>
      <c r="FC55" s="249"/>
      <c r="FD55" s="249"/>
      <c r="FE55" s="249"/>
      <c r="FF55" s="249"/>
      <c r="FG55" s="297">
        <f t="shared" si="91"/>
        <v>0</v>
      </c>
      <c r="FH55" s="303" t="e">
        <f>FG55/FG52</f>
        <v>#DIV/0!</v>
      </c>
      <c r="FI55" s="249"/>
      <c r="FJ55" s="249"/>
      <c r="FK55" s="249"/>
      <c r="FL55" s="249"/>
      <c r="FM55" s="249"/>
      <c r="FN55" s="297">
        <f t="shared" si="92"/>
        <v>0</v>
      </c>
      <c r="FO55" s="303" t="e">
        <f>FN55/FN52</f>
        <v>#DIV/0!</v>
      </c>
      <c r="FP55" s="249"/>
      <c r="FQ55" s="249"/>
      <c r="FR55" s="249"/>
      <c r="FS55" s="249"/>
      <c r="FT55" s="249"/>
      <c r="FU55" s="297">
        <f t="shared" si="93"/>
        <v>0</v>
      </c>
      <c r="FV55" s="303" t="e">
        <f>FU55/FU52</f>
        <v>#DIV/0!</v>
      </c>
      <c r="FW55" s="249"/>
      <c r="FX55" s="249"/>
      <c r="FY55" s="249"/>
      <c r="FZ55" s="249"/>
      <c r="GA55" s="249"/>
      <c r="GB55" s="297">
        <f t="shared" si="94"/>
        <v>0</v>
      </c>
      <c r="GC55" s="303" t="e">
        <f>GB55/GB52</f>
        <v>#DIV/0!</v>
      </c>
      <c r="GD55" s="249"/>
      <c r="GE55" s="249"/>
      <c r="GF55" s="249"/>
      <c r="GG55" s="249"/>
      <c r="GH55" s="249"/>
    </row>
    <row r="56" spans="1:190" ht="12.75">
      <c r="A56" s="304" t="s">
        <v>261</v>
      </c>
      <c r="B56" s="297">
        <f t="shared" si="68"/>
        <v>0</v>
      </c>
      <c r="C56" s="303">
        <f>B56/B52</f>
        <v>0</v>
      </c>
      <c r="D56" s="249"/>
      <c r="E56" s="249"/>
      <c r="F56" s="249"/>
      <c r="G56" s="249"/>
      <c r="H56" s="249"/>
      <c r="I56" s="297">
        <f t="shared" si="69"/>
        <v>0</v>
      </c>
      <c r="J56" s="303" t="e">
        <f>I56/I52</f>
        <v>#DIV/0!</v>
      </c>
      <c r="K56" s="249"/>
      <c r="L56" s="249"/>
      <c r="M56" s="249"/>
      <c r="N56" s="249"/>
      <c r="O56" s="249"/>
      <c r="P56" s="297">
        <f t="shared" si="70"/>
        <v>0</v>
      </c>
      <c r="Q56" s="303" t="e">
        <f>P56/P52</f>
        <v>#DIV/0!</v>
      </c>
      <c r="R56" s="249"/>
      <c r="S56" s="249"/>
      <c r="T56" s="249"/>
      <c r="U56" s="249"/>
      <c r="V56" s="249"/>
      <c r="W56" s="297">
        <f t="shared" si="71"/>
        <v>0</v>
      </c>
      <c r="X56" s="303" t="e">
        <f>W56/W52</f>
        <v>#DIV/0!</v>
      </c>
      <c r="Y56" s="249"/>
      <c r="Z56" s="249"/>
      <c r="AA56" s="249"/>
      <c r="AB56" s="249"/>
      <c r="AC56" s="249"/>
      <c r="AD56" s="297">
        <f t="shared" si="72"/>
        <v>0</v>
      </c>
      <c r="AE56" s="303" t="e">
        <f>AD56/AD52</f>
        <v>#DIV/0!</v>
      </c>
      <c r="AF56" s="249"/>
      <c r="AG56" s="249"/>
      <c r="AH56" s="249"/>
      <c r="AI56" s="249"/>
      <c r="AJ56" s="249"/>
      <c r="AK56" s="297">
        <f t="shared" si="73"/>
        <v>0</v>
      </c>
      <c r="AL56" s="303" t="e">
        <f>AK56/AK52</f>
        <v>#DIV/0!</v>
      </c>
      <c r="AM56" s="249"/>
      <c r="AN56" s="249"/>
      <c r="AO56" s="249"/>
      <c r="AP56" s="249"/>
      <c r="AQ56" s="249"/>
      <c r="AR56" s="297">
        <f t="shared" si="74"/>
        <v>0</v>
      </c>
      <c r="AS56" s="303" t="e">
        <f>AR56/AR52</f>
        <v>#DIV/0!</v>
      </c>
      <c r="AT56" s="249"/>
      <c r="AU56" s="249"/>
      <c r="AV56" s="249"/>
      <c r="AW56" s="249"/>
      <c r="AX56" s="249"/>
      <c r="AY56" s="297">
        <f t="shared" si="75"/>
        <v>0</v>
      </c>
      <c r="AZ56" s="303" t="e">
        <f>AY56/AY52</f>
        <v>#DIV/0!</v>
      </c>
      <c r="BA56" s="249"/>
      <c r="BB56" s="249"/>
      <c r="BC56" s="249"/>
      <c r="BD56" s="249"/>
      <c r="BE56" s="249"/>
      <c r="BF56" s="297">
        <f t="shared" si="76"/>
        <v>0</v>
      </c>
      <c r="BG56" s="303" t="e">
        <f>BF56/BF52</f>
        <v>#DIV/0!</v>
      </c>
      <c r="BH56" s="249"/>
      <c r="BI56" s="249"/>
      <c r="BJ56" s="249"/>
      <c r="BK56" s="249"/>
      <c r="BL56" s="249"/>
      <c r="BM56" s="297">
        <f t="shared" si="77"/>
        <v>0</v>
      </c>
      <c r="BN56" s="303" t="e">
        <f>BM56/BM52</f>
        <v>#DIV/0!</v>
      </c>
      <c r="BO56" s="249"/>
      <c r="BP56" s="249"/>
      <c r="BQ56" s="249"/>
      <c r="BR56" s="249"/>
      <c r="BS56" s="249"/>
      <c r="BT56" s="297">
        <f t="shared" si="78"/>
        <v>0</v>
      </c>
      <c r="BU56" s="303" t="e">
        <f>BT56/BT52</f>
        <v>#DIV/0!</v>
      </c>
      <c r="BV56" s="249"/>
      <c r="BW56" s="249"/>
      <c r="BX56" s="249"/>
      <c r="BY56" s="249"/>
      <c r="BZ56" s="249"/>
      <c r="CA56" s="297">
        <f t="shared" si="79"/>
        <v>0</v>
      </c>
      <c r="CB56" s="303" t="e">
        <f>CA56/CA52</f>
        <v>#DIV/0!</v>
      </c>
      <c r="CC56" s="249"/>
      <c r="CD56" s="249"/>
      <c r="CE56" s="249"/>
      <c r="CF56" s="249"/>
      <c r="CG56" s="249"/>
      <c r="CH56" s="297">
        <f t="shared" si="80"/>
        <v>0</v>
      </c>
      <c r="CI56" s="303" t="e">
        <f>CH56/CH52</f>
        <v>#DIV/0!</v>
      </c>
      <c r="CJ56" s="249"/>
      <c r="CK56" s="249"/>
      <c r="CL56" s="249"/>
      <c r="CM56" s="249"/>
      <c r="CN56" s="249"/>
      <c r="CO56" s="297">
        <f t="shared" si="81"/>
        <v>0</v>
      </c>
      <c r="CP56" s="303" t="e">
        <f>CO56/CO52</f>
        <v>#DIV/0!</v>
      </c>
      <c r="CQ56" s="249"/>
      <c r="CR56" s="249"/>
      <c r="CS56" s="249"/>
      <c r="CT56" s="249"/>
      <c r="CU56" s="249"/>
      <c r="CV56" s="297">
        <f t="shared" si="82"/>
        <v>0</v>
      </c>
      <c r="CW56" s="303" t="e">
        <f>CV56/CV52</f>
        <v>#DIV/0!</v>
      </c>
      <c r="CX56" s="249"/>
      <c r="CY56" s="249"/>
      <c r="CZ56" s="249"/>
      <c r="DA56" s="249"/>
      <c r="DB56" s="249"/>
      <c r="DC56" s="297">
        <f t="shared" si="83"/>
        <v>0</v>
      </c>
      <c r="DD56" s="303" t="e">
        <f>DC56/DC52</f>
        <v>#DIV/0!</v>
      </c>
      <c r="DE56" s="249"/>
      <c r="DF56" s="249"/>
      <c r="DG56" s="249"/>
      <c r="DH56" s="249"/>
      <c r="DI56" s="249"/>
      <c r="DJ56" s="297">
        <f t="shared" si="84"/>
        <v>0</v>
      </c>
      <c r="DK56" s="303" t="e">
        <f>DJ56/DJ52</f>
        <v>#DIV/0!</v>
      </c>
      <c r="DL56" s="249"/>
      <c r="DM56" s="249"/>
      <c r="DN56" s="249"/>
      <c r="DO56" s="249"/>
      <c r="DP56" s="249"/>
      <c r="DQ56" s="297">
        <f t="shared" si="85"/>
        <v>0</v>
      </c>
      <c r="DR56" s="303" t="e">
        <f>DQ56/DQ52</f>
        <v>#DIV/0!</v>
      </c>
      <c r="DS56" s="249"/>
      <c r="DT56" s="249"/>
      <c r="DU56" s="249"/>
      <c r="DV56" s="249"/>
      <c r="DW56" s="249"/>
      <c r="DX56" s="297">
        <f t="shared" si="86"/>
        <v>0</v>
      </c>
      <c r="DY56" s="303" t="e">
        <f>DX56/DX52</f>
        <v>#DIV/0!</v>
      </c>
      <c r="DZ56" s="249"/>
      <c r="EA56" s="249"/>
      <c r="EB56" s="249"/>
      <c r="EC56" s="249"/>
      <c r="ED56" s="249"/>
      <c r="EE56" s="297">
        <f t="shared" si="87"/>
        <v>0</v>
      </c>
      <c r="EF56" s="303" t="e">
        <f>EE56/EE52</f>
        <v>#DIV/0!</v>
      </c>
      <c r="EG56" s="249"/>
      <c r="EH56" s="249"/>
      <c r="EI56" s="249"/>
      <c r="EJ56" s="249"/>
      <c r="EK56" s="249"/>
      <c r="EL56" s="297">
        <f t="shared" si="88"/>
        <v>0</v>
      </c>
      <c r="EM56" s="303" t="e">
        <f>EL56/EL52</f>
        <v>#DIV/0!</v>
      </c>
      <c r="EN56" s="249"/>
      <c r="EO56" s="249"/>
      <c r="EP56" s="249"/>
      <c r="EQ56" s="249"/>
      <c r="ER56" s="249"/>
      <c r="ES56" s="297">
        <f t="shared" si="89"/>
        <v>0</v>
      </c>
      <c r="ET56" s="303" t="e">
        <f>ES56/ES52</f>
        <v>#DIV/0!</v>
      </c>
      <c r="EU56" s="249"/>
      <c r="EV56" s="249"/>
      <c r="EW56" s="249"/>
      <c r="EX56" s="249"/>
      <c r="EY56" s="249"/>
      <c r="EZ56" s="297">
        <f t="shared" si="90"/>
        <v>0</v>
      </c>
      <c r="FA56" s="303" t="e">
        <f>EZ56/EZ52</f>
        <v>#DIV/0!</v>
      </c>
      <c r="FB56" s="249"/>
      <c r="FC56" s="249"/>
      <c r="FD56" s="249"/>
      <c r="FE56" s="249"/>
      <c r="FF56" s="249"/>
      <c r="FG56" s="297">
        <f t="shared" si="91"/>
        <v>0</v>
      </c>
      <c r="FH56" s="303" t="e">
        <f>FG56/FG52</f>
        <v>#DIV/0!</v>
      </c>
      <c r="FI56" s="249"/>
      <c r="FJ56" s="249"/>
      <c r="FK56" s="249"/>
      <c r="FL56" s="249"/>
      <c r="FM56" s="249"/>
      <c r="FN56" s="297">
        <f t="shared" si="92"/>
        <v>0</v>
      </c>
      <c r="FO56" s="303" t="e">
        <f>FN56/FN52</f>
        <v>#DIV/0!</v>
      </c>
      <c r="FP56" s="249"/>
      <c r="FQ56" s="249"/>
      <c r="FR56" s="249"/>
      <c r="FS56" s="249"/>
      <c r="FT56" s="249"/>
      <c r="FU56" s="297">
        <f t="shared" si="93"/>
        <v>0</v>
      </c>
      <c r="FV56" s="303" t="e">
        <f>FU56/FU52</f>
        <v>#DIV/0!</v>
      </c>
      <c r="FW56" s="249"/>
      <c r="FX56" s="249"/>
      <c r="FY56" s="249"/>
      <c r="FZ56" s="249"/>
      <c r="GA56" s="249"/>
      <c r="GB56" s="297">
        <f t="shared" si="94"/>
        <v>0</v>
      </c>
      <c r="GC56" s="303" t="e">
        <f>GB56/GB52</f>
        <v>#DIV/0!</v>
      </c>
      <c r="GD56" s="249"/>
      <c r="GE56" s="249"/>
      <c r="GF56" s="249"/>
      <c r="GG56" s="249"/>
      <c r="GH56" s="249"/>
    </row>
    <row r="57" spans="1:190" ht="12.75">
      <c r="A57" s="304" t="s">
        <v>2</v>
      </c>
      <c r="B57" s="297">
        <f t="shared" si="68"/>
        <v>0</v>
      </c>
      <c r="C57" s="303">
        <f>B57/B52</f>
        <v>0</v>
      </c>
      <c r="D57" s="249"/>
      <c r="E57" s="249"/>
      <c r="F57" s="249"/>
      <c r="G57" s="249"/>
      <c r="H57" s="249"/>
      <c r="I57" s="297">
        <f t="shared" si="69"/>
        <v>0</v>
      </c>
      <c r="J57" s="303" t="e">
        <f>I57/I52</f>
        <v>#DIV/0!</v>
      </c>
      <c r="K57" s="249"/>
      <c r="L57" s="249"/>
      <c r="M57" s="249"/>
      <c r="N57" s="249"/>
      <c r="O57" s="249"/>
      <c r="P57" s="297">
        <f t="shared" si="70"/>
        <v>0</v>
      </c>
      <c r="Q57" s="303" t="e">
        <f>P57/P52</f>
        <v>#DIV/0!</v>
      </c>
      <c r="R57" s="249"/>
      <c r="S57" s="249"/>
      <c r="T57" s="249"/>
      <c r="U57" s="249"/>
      <c r="V57" s="249"/>
      <c r="W57" s="297">
        <f t="shared" si="71"/>
        <v>0</v>
      </c>
      <c r="X57" s="303" t="e">
        <f>W57/W52</f>
        <v>#DIV/0!</v>
      </c>
      <c r="Y57" s="249"/>
      <c r="Z57" s="249"/>
      <c r="AA57" s="249"/>
      <c r="AB57" s="249"/>
      <c r="AC57" s="249"/>
      <c r="AD57" s="297">
        <f t="shared" si="72"/>
        <v>0</v>
      </c>
      <c r="AE57" s="303" t="e">
        <f>AD57/AD52</f>
        <v>#DIV/0!</v>
      </c>
      <c r="AF57" s="249"/>
      <c r="AG57" s="249"/>
      <c r="AH57" s="249"/>
      <c r="AI57" s="249"/>
      <c r="AJ57" s="249"/>
      <c r="AK57" s="297">
        <f t="shared" si="73"/>
        <v>0</v>
      </c>
      <c r="AL57" s="303" t="e">
        <f>AK57/AK52</f>
        <v>#DIV/0!</v>
      </c>
      <c r="AM57" s="249"/>
      <c r="AN57" s="249"/>
      <c r="AO57" s="249"/>
      <c r="AP57" s="249"/>
      <c r="AQ57" s="249"/>
      <c r="AR57" s="297">
        <f t="shared" si="74"/>
        <v>0</v>
      </c>
      <c r="AS57" s="303" t="e">
        <f>AR57/AR52</f>
        <v>#DIV/0!</v>
      </c>
      <c r="AT57" s="249"/>
      <c r="AU57" s="249"/>
      <c r="AV57" s="249"/>
      <c r="AW57" s="249"/>
      <c r="AX57" s="249"/>
      <c r="AY57" s="297">
        <f t="shared" si="75"/>
        <v>0</v>
      </c>
      <c r="AZ57" s="303" t="e">
        <f>AY57/AY52</f>
        <v>#DIV/0!</v>
      </c>
      <c r="BA57" s="249"/>
      <c r="BB57" s="249"/>
      <c r="BC57" s="249"/>
      <c r="BD57" s="249"/>
      <c r="BE57" s="249"/>
      <c r="BF57" s="297">
        <f t="shared" si="76"/>
        <v>0</v>
      </c>
      <c r="BG57" s="303" t="e">
        <f>BF57/BF52</f>
        <v>#DIV/0!</v>
      </c>
      <c r="BH57" s="249"/>
      <c r="BI57" s="249"/>
      <c r="BJ57" s="249"/>
      <c r="BK57" s="249"/>
      <c r="BL57" s="249"/>
      <c r="BM57" s="297">
        <f t="shared" si="77"/>
        <v>0</v>
      </c>
      <c r="BN57" s="303" t="e">
        <f>BM57/BM52</f>
        <v>#DIV/0!</v>
      </c>
      <c r="BO57" s="249"/>
      <c r="BP57" s="249"/>
      <c r="BQ57" s="249"/>
      <c r="BR57" s="249"/>
      <c r="BS57" s="249"/>
      <c r="BT57" s="297">
        <f t="shared" si="78"/>
        <v>0</v>
      </c>
      <c r="BU57" s="303" t="e">
        <f>BT57/BT52</f>
        <v>#DIV/0!</v>
      </c>
      <c r="BV57" s="249"/>
      <c r="BW57" s="249"/>
      <c r="BX57" s="249"/>
      <c r="BY57" s="249"/>
      <c r="BZ57" s="249"/>
      <c r="CA57" s="297">
        <f t="shared" si="79"/>
        <v>0</v>
      </c>
      <c r="CB57" s="303" t="e">
        <f>CA57/CA52</f>
        <v>#DIV/0!</v>
      </c>
      <c r="CC57" s="249"/>
      <c r="CD57" s="249"/>
      <c r="CE57" s="249"/>
      <c r="CF57" s="249"/>
      <c r="CG57" s="249"/>
      <c r="CH57" s="297">
        <f t="shared" si="80"/>
        <v>0</v>
      </c>
      <c r="CI57" s="303" t="e">
        <f>CH57/CH52</f>
        <v>#DIV/0!</v>
      </c>
      <c r="CJ57" s="249"/>
      <c r="CK57" s="249"/>
      <c r="CL57" s="249"/>
      <c r="CM57" s="249"/>
      <c r="CN57" s="249"/>
      <c r="CO57" s="297">
        <f t="shared" si="81"/>
        <v>0</v>
      </c>
      <c r="CP57" s="303" t="e">
        <f>CO57/CO52</f>
        <v>#DIV/0!</v>
      </c>
      <c r="CQ57" s="249"/>
      <c r="CR57" s="249"/>
      <c r="CS57" s="249"/>
      <c r="CT57" s="249"/>
      <c r="CU57" s="249"/>
      <c r="CV57" s="297">
        <f t="shared" si="82"/>
        <v>0</v>
      </c>
      <c r="CW57" s="303" t="e">
        <f>CV57/CV52</f>
        <v>#DIV/0!</v>
      </c>
      <c r="CX57" s="249"/>
      <c r="CY57" s="249"/>
      <c r="CZ57" s="249"/>
      <c r="DA57" s="249"/>
      <c r="DB57" s="249"/>
      <c r="DC57" s="297">
        <f t="shared" si="83"/>
        <v>0</v>
      </c>
      <c r="DD57" s="303" t="e">
        <f>DC57/DC52</f>
        <v>#DIV/0!</v>
      </c>
      <c r="DE57" s="249"/>
      <c r="DF57" s="249"/>
      <c r="DG57" s="249"/>
      <c r="DH57" s="249"/>
      <c r="DI57" s="249"/>
      <c r="DJ57" s="297">
        <f t="shared" si="84"/>
        <v>0</v>
      </c>
      <c r="DK57" s="303" t="e">
        <f>DJ57/DJ52</f>
        <v>#DIV/0!</v>
      </c>
      <c r="DL57" s="249"/>
      <c r="DM57" s="249"/>
      <c r="DN57" s="249"/>
      <c r="DO57" s="249"/>
      <c r="DP57" s="249"/>
      <c r="DQ57" s="297">
        <f t="shared" si="85"/>
        <v>0</v>
      </c>
      <c r="DR57" s="303" t="e">
        <f>DQ57/DQ52</f>
        <v>#DIV/0!</v>
      </c>
      <c r="DS57" s="249"/>
      <c r="DT57" s="249"/>
      <c r="DU57" s="249"/>
      <c r="DV57" s="249"/>
      <c r="DW57" s="249"/>
      <c r="DX57" s="297">
        <f t="shared" si="86"/>
        <v>0</v>
      </c>
      <c r="DY57" s="303" t="e">
        <f>DX57/DX52</f>
        <v>#DIV/0!</v>
      </c>
      <c r="DZ57" s="249"/>
      <c r="EA57" s="249"/>
      <c r="EB57" s="249"/>
      <c r="EC57" s="249"/>
      <c r="ED57" s="249"/>
      <c r="EE57" s="297">
        <f t="shared" si="87"/>
        <v>0</v>
      </c>
      <c r="EF57" s="303" t="e">
        <f>EE57/EE52</f>
        <v>#DIV/0!</v>
      </c>
      <c r="EG57" s="249"/>
      <c r="EH57" s="249"/>
      <c r="EI57" s="249"/>
      <c r="EJ57" s="249"/>
      <c r="EK57" s="249"/>
      <c r="EL57" s="297">
        <f t="shared" si="88"/>
        <v>0</v>
      </c>
      <c r="EM57" s="303" t="e">
        <f>EL57/EL52</f>
        <v>#DIV/0!</v>
      </c>
      <c r="EN57" s="249"/>
      <c r="EO57" s="249"/>
      <c r="EP57" s="249"/>
      <c r="EQ57" s="249"/>
      <c r="ER57" s="249"/>
      <c r="ES57" s="297">
        <f t="shared" si="89"/>
        <v>0</v>
      </c>
      <c r="ET57" s="303" t="e">
        <f>ES57/ES52</f>
        <v>#DIV/0!</v>
      </c>
      <c r="EU57" s="249"/>
      <c r="EV57" s="249"/>
      <c r="EW57" s="249"/>
      <c r="EX57" s="249"/>
      <c r="EY57" s="249"/>
      <c r="EZ57" s="297">
        <f t="shared" si="90"/>
        <v>0</v>
      </c>
      <c r="FA57" s="303" t="e">
        <f>EZ57/EZ52</f>
        <v>#DIV/0!</v>
      </c>
      <c r="FB57" s="249"/>
      <c r="FC57" s="249"/>
      <c r="FD57" s="249"/>
      <c r="FE57" s="249"/>
      <c r="FF57" s="249"/>
      <c r="FG57" s="297">
        <f t="shared" si="91"/>
        <v>0</v>
      </c>
      <c r="FH57" s="303" t="e">
        <f>FG57/FG52</f>
        <v>#DIV/0!</v>
      </c>
      <c r="FI57" s="249"/>
      <c r="FJ57" s="249"/>
      <c r="FK57" s="249"/>
      <c r="FL57" s="249"/>
      <c r="FM57" s="249"/>
      <c r="FN57" s="297">
        <f t="shared" si="92"/>
        <v>0</v>
      </c>
      <c r="FO57" s="303" t="e">
        <f>FN57/FN52</f>
        <v>#DIV/0!</v>
      </c>
      <c r="FP57" s="249"/>
      <c r="FQ57" s="249"/>
      <c r="FR57" s="249"/>
      <c r="FS57" s="249"/>
      <c r="FT57" s="249"/>
      <c r="FU57" s="297">
        <f t="shared" si="93"/>
        <v>0</v>
      </c>
      <c r="FV57" s="303" t="e">
        <f>FU57/FU52</f>
        <v>#DIV/0!</v>
      </c>
      <c r="FW57" s="249"/>
      <c r="FX57" s="249"/>
      <c r="FY57" s="249"/>
      <c r="FZ57" s="249"/>
      <c r="GA57" s="249"/>
      <c r="GB57" s="297">
        <f t="shared" si="94"/>
        <v>0</v>
      </c>
      <c r="GC57" s="303" t="e">
        <f>GB57/GB52</f>
        <v>#DIV/0!</v>
      </c>
      <c r="GD57" s="249"/>
      <c r="GE57" s="249"/>
      <c r="GF57" s="249"/>
      <c r="GG57" s="249"/>
      <c r="GH57" s="249"/>
    </row>
    <row r="58" spans="1:190" ht="12.75">
      <c r="A58" s="305" t="s">
        <v>104</v>
      </c>
      <c r="B58" s="297">
        <f t="shared" si="68"/>
        <v>0</v>
      </c>
      <c r="C58" s="303">
        <f>B58/B52</f>
        <v>0</v>
      </c>
      <c r="D58" s="249"/>
      <c r="E58" s="249"/>
      <c r="F58" s="249"/>
      <c r="G58" s="249"/>
      <c r="H58" s="249"/>
      <c r="I58" s="297">
        <f t="shared" si="69"/>
        <v>0</v>
      </c>
      <c r="J58" s="303" t="e">
        <f>I58/I52</f>
        <v>#DIV/0!</v>
      </c>
      <c r="K58" s="249"/>
      <c r="L58" s="249"/>
      <c r="M58" s="249"/>
      <c r="N58" s="249"/>
      <c r="O58" s="249"/>
      <c r="P58" s="297">
        <f t="shared" si="70"/>
        <v>0</v>
      </c>
      <c r="Q58" s="303" t="e">
        <f>P58/P52</f>
        <v>#DIV/0!</v>
      </c>
      <c r="R58" s="249"/>
      <c r="S58" s="249"/>
      <c r="T58" s="249"/>
      <c r="U58" s="249"/>
      <c r="V58" s="249"/>
      <c r="W58" s="297">
        <f t="shared" si="71"/>
        <v>0</v>
      </c>
      <c r="X58" s="303" t="e">
        <f>W58/W52</f>
        <v>#DIV/0!</v>
      </c>
      <c r="Y58" s="249"/>
      <c r="Z58" s="249"/>
      <c r="AA58" s="249"/>
      <c r="AB58" s="249"/>
      <c r="AC58" s="249"/>
      <c r="AD58" s="297">
        <f t="shared" si="72"/>
        <v>0</v>
      </c>
      <c r="AE58" s="303" t="e">
        <f>AD58/AD52</f>
        <v>#DIV/0!</v>
      </c>
      <c r="AF58" s="249"/>
      <c r="AG58" s="249"/>
      <c r="AH58" s="249"/>
      <c r="AI58" s="249"/>
      <c r="AJ58" s="249"/>
      <c r="AK58" s="297">
        <f t="shared" si="73"/>
        <v>0</v>
      </c>
      <c r="AL58" s="303" t="e">
        <f>AK58/AK52</f>
        <v>#DIV/0!</v>
      </c>
      <c r="AM58" s="249"/>
      <c r="AN58" s="249"/>
      <c r="AO58" s="249"/>
      <c r="AP58" s="249"/>
      <c r="AQ58" s="249"/>
      <c r="AR58" s="297">
        <f t="shared" si="74"/>
        <v>0</v>
      </c>
      <c r="AS58" s="303" t="e">
        <f>AR58/AR52</f>
        <v>#DIV/0!</v>
      </c>
      <c r="AT58" s="249"/>
      <c r="AU58" s="249"/>
      <c r="AV58" s="249"/>
      <c r="AW58" s="249"/>
      <c r="AX58" s="249"/>
      <c r="AY58" s="297">
        <f t="shared" si="75"/>
        <v>0</v>
      </c>
      <c r="AZ58" s="303" t="e">
        <f>AY58/AY52</f>
        <v>#DIV/0!</v>
      </c>
      <c r="BA58" s="249"/>
      <c r="BB58" s="249"/>
      <c r="BC58" s="249"/>
      <c r="BD58" s="249"/>
      <c r="BE58" s="249"/>
      <c r="BF58" s="297">
        <f t="shared" si="76"/>
        <v>0</v>
      </c>
      <c r="BG58" s="303" t="e">
        <f>BF58/BF52</f>
        <v>#DIV/0!</v>
      </c>
      <c r="BH58" s="249"/>
      <c r="BI58" s="249"/>
      <c r="BJ58" s="249"/>
      <c r="BK58" s="249"/>
      <c r="BL58" s="249"/>
      <c r="BM58" s="297">
        <f t="shared" si="77"/>
        <v>0</v>
      </c>
      <c r="BN58" s="303" t="e">
        <f>BM58/BM52</f>
        <v>#DIV/0!</v>
      </c>
      <c r="BO58" s="249"/>
      <c r="BP58" s="249"/>
      <c r="BQ58" s="249"/>
      <c r="BR58" s="249"/>
      <c r="BS58" s="249"/>
      <c r="BT58" s="297">
        <f t="shared" si="78"/>
        <v>0</v>
      </c>
      <c r="BU58" s="303" t="e">
        <f>BT58/BT52</f>
        <v>#DIV/0!</v>
      </c>
      <c r="BV58" s="249"/>
      <c r="BW58" s="249"/>
      <c r="BX58" s="249"/>
      <c r="BY58" s="249"/>
      <c r="BZ58" s="249"/>
      <c r="CA58" s="297">
        <f t="shared" si="79"/>
        <v>0</v>
      </c>
      <c r="CB58" s="303" t="e">
        <f>CA58/CA52</f>
        <v>#DIV/0!</v>
      </c>
      <c r="CC58" s="249"/>
      <c r="CD58" s="249"/>
      <c r="CE58" s="249"/>
      <c r="CF58" s="249"/>
      <c r="CG58" s="249"/>
      <c r="CH58" s="297">
        <f t="shared" si="80"/>
        <v>0</v>
      </c>
      <c r="CI58" s="303" t="e">
        <f>CH58/CH52</f>
        <v>#DIV/0!</v>
      </c>
      <c r="CJ58" s="249"/>
      <c r="CK58" s="249"/>
      <c r="CL58" s="249"/>
      <c r="CM58" s="249"/>
      <c r="CN58" s="249"/>
      <c r="CO58" s="297">
        <f t="shared" si="81"/>
        <v>0</v>
      </c>
      <c r="CP58" s="303" t="e">
        <f>CO58/CO52</f>
        <v>#DIV/0!</v>
      </c>
      <c r="CQ58" s="249"/>
      <c r="CR58" s="249"/>
      <c r="CS58" s="249"/>
      <c r="CT58" s="249"/>
      <c r="CU58" s="249"/>
      <c r="CV58" s="297">
        <f t="shared" si="82"/>
        <v>0</v>
      </c>
      <c r="CW58" s="303" t="e">
        <f>CV58/CV52</f>
        <v>#DIV/0!</v>
      </c>
      <c r="CX58" s="249"/>
      <c r="CY58" s="249"/>
      <c r="CZ58" s="249"/>
      <c r="DA58" s="249"/>
      <c r="DB58" s="249"/>
      <c r="DC58" s="297">
        <f t="shared" si="83"/>
        <v>0</v>
      </c>
      <c r="DD58" s="303" t="e">
        <f>DC58/DC52</f>
        <v>#DIV/0!</v>
      </c>
      <c r="DE58" s="249"/>
      <c r="DF58" s="249"/>
      <c r="DG58" s="249"/>
      <c r="DH58" s="249"/>
      <c r="DI58" s="249"/>
      <c r="DJ58" s="297">
        <f t="shared" si="84"/>
        <v>0</v>
      </c>
      <c r="DK58" s="303" t="e">
        <f>DJ58/DJ52</f>
        <v>#DIV/0!</v>
      </c>
      <c r="DL58" s="249"/>
      <c r="DM58" s="249"/>
      <c r="DN58" s="249"/>
      <c r="DO58" s="249"/>
      <c r="DP58" s="249"/>
      <c r="DQ58" s="297">
        <f t="shared" si="85"/>
        <v>0</v>
      </c>
      <c r="DR58" s="303" t="e">
        <f>DQ58/DQ52</f>
        <v>#DIV/0!</v>
      </c>
      <c r="DS58" s="249"/>
      <c r="DT58" s="249"/>
      <c r="DU58" s="249"/>
      <c r="DV58" s="249"/>
      <c r="DW58" s="249"/>
      <c r="DX58" s="297">
        <f t="shared" si="86"/>
        <v>0</v>
      </c>
      <c r="DY58" s="303" t="e">
        <f>DX58/DX52</f>
        <v>#DIV/0!</v>
      </c>
      <c r="DZ58" s="249"/>
      <c r="EA58" s="249"/>
      <c r="EB58" s="249"/>
      <c r="EC58" s="249"/>
      <c r="ED58" s="249"/>
      <c r="EE58" s="297">
        <f t="shared" si="87"/>
        <v>0</v>
      </c>
      <c r="EF58" s="303" t="e">
        <f>EE58/EE52</f>
        <v>#DIV/0!</v>
      </c>
      <c r="EG58" s="249"/>
      <c r="EH58" s="249"/>
      <c r="EI58" s="249"/>
      <c r="EJ58" s="249"/>
      <c r="EK58" s="249"/>
      <c r="EL58" s="297">
        <f t="shared" si="88"/>
        <v>0</v>
      </c>
      <c r="EM58" s="303" t="e">
        <f>EL58/EL52</f>
        <v>#DIV/0!</v>
      </c>
      <c r="EN58" s="249"/>
      <c r="EO58" s="249"/>
      <c r="EP58" s="249"/>
      <c r="EQ58" s="249"/>
      <c r="ER58" s="249"/>
      <c r="ES58" s="297">
        <f t="shared" si="89"/>
        <v>0</v>
      </c>
      <c r="ET58" s="303" t="e">
        <f>ES58/ES52</f>
        <v>#DIV/0!</v>
      </c>
      <c r="EU58" s="249"/>
      <c r="EV58" s="249"/>
      <c r="EW58" s="249"/>
      <c r="EX58" s="249"/>
      <c r="EY58" s="249"/>
      <c r="EZ58" s="297">
        <f t="shared" si="90"/>
        <v>0</v>
      </c>
      <c r="FA58" s="303" t="e">
        <f>EZ58/EZ52</f>
        <v>#DIV/0!</v>
      </c>
      <c r="FB58" s="249"/>
      <c r="FC58" s="249"/>
      <c r="FD58" s="249"/>
      <c r="FE58" s="249"/>
      <c r="FF58" s="249"/>
      <c r="FG58" s="297">
        <f t="shared" si="91"/>
        <v>0</v>
      </c>
      <c r="FH58" s="303" t="e">
        <f>FG58/FG52</f>
        <v>#DIV/0!</v>
      </c>
      <c r="FI58" s="249"/>
      <c r="FJ58" s="249"/>
      <c r="FK58" s="249"/>
      <c r="FL58" s="249"/>
      <c r="FM58" s="249"/>
      <c r="FN58" s="297">
        <f t="shared" si="92"/>
        <v>0</v>
      </c>
      <c r="FO58" s="303" t="e">
        <f>FN58/FN52</f>
        <v>#DIV/0!</v>
      </c>
      <c r="FP58" s="249"/>
      <c r="FQ58" s="249"/>
      <c r="FR58" s="249"/>
      <c r="FS58" s="249"/>
      <c r="FT58" s="249"/>
      <c r="FU58" s="297">
        <f t="shared" si="93"/>
        <v>0</v>
      </c>
      <c r="FV58" s="303" t="e">
        <f>FU58/FU52</f>
        <v>#DIV/0!</v>
      </c>
      <c r="FW58" s="249"/>
      <c r="FX58" s="249"/>
      <c r="FY58" s="249"/>
      <c r="FZ58" s="249"/>
      <c r="GA58" s="249"/>
      <c r="GB58" s="297">
        <f t="shared" si="94"/>
        <v>0</v>
      </c>
      <c r="GC58" s="303" t="e">
        <f>GB58/GB52</f>
        <v>#DIV/0!</v>
      </c>
      <c r="GD58" s="249"/>
      <c r="GE58" s="249"/>
      <c r="GF58" s="249"/>
      <c r="GG58" s="249"/>
      <c r="GH58" s="249"/>
    </row>
    <row r="59" spans="1:190" ht="12.75">
      <c r="A59" s="307" t="s">
        <v>283</v>
      </c>
      <c r="B59" s="297">
        <f aca="true" t="shared" si="95" ref="B59:B65">SUM(B27:H27)</f>
        <v>7.8</v>
      </c>
      <c r="C59" s="303">
        <v>1</v>
      </c>
      <c r="D59" s="249"/>
      <c r="E59" s="249"/>
      <c r="F59" s="249"/>
      <c r="G59" s="249"/>
      <c r="H59" s="249"/>
      <c r="I59" s="297">
        <f aca="true" t="shared" si="96" ref="I59:I65">SUM(I27:O27)</f>
        <v>0</v>
      </c>
      <c r="J59" s="303">
        <v>1</v>
      </c>
      <c r="K59" s="249"/>
      <c r="L59" s="249"/>
      <c r="M59" s="249"/>
      <c r="N59" s="249"/>
      <c r="O59" s="249"/>
      <c r="P59" s="297">
        <f aca="true" t="shared" si="97" ref="P59:P65">SUM(P27:V27)</f>
        <v>0</v>
      </c>
      <c r="Q59" s="303">
        <v>1</v>
      </c>
      <c r="R59" s="249"/>
      <c r="S59" s="249"/>
      <c r="T59" s="249"/>
      <c r="U59" s="249"/>
      <c r="V59" s="249"/>
      <c r="W59" s="297">
        <f aca="true" t="shared" si="98" ref="W59:W65">SUM(W27:AC27)</f>
        <v>0</v>
      </c>
      <c r="X59" s="303">
        <v>1</v>
      </c>
      <c r="Y59" s="249"/>
      <c r="Z59" s="249"/>
      <c r="AA59" s="249"/>
      <c r="AB59" s="249"/>
      <c r="AC59" s="249"/>
      <c r="AD59" s="297">
        <f aca="true" t="shared" si="99" ref="AD59:AD65">SUM(AD27:AJ27)</f>
        <v>0</v>
      </c>
      <c r="AE59" s="303">
        <v>1</v>
      </c>
      <c r="AF59" s="249"/>
      <c r="AG59" s="249"/>
      <c r="AH59" s="249"/>
      <c r="AI59" s="249"/>
      <c r="AJ59" s="249"/>
      <c r="AK59" s="297">
        <f aca="true" t="shared" si="100" ref="AK59:AK65">SUM(AK27:AQ27)</f>
        <v>0</v>
      </c>
      <c r="AL59" s="303">
        <v>1</v>
      </c>
      <c r="AM59" s="249"/>
      <c r="AN59" s="249"/>
      <c r="AO59" s="249"/>
      <c r="AP59" s="249"/>
      <c r="AQ59" s="249"/>
      <c r="AR59" s="297">
        <f aca="true" t="shared" si="101" ref="AR59:AR65">SUM(AR27:AX27)</f>
        <v>0</v>
      </c>
      <c r="AS59" s="303">
        <v>1</v>
      </c>
      <c r="AT59" s="249"/>
      <c r="AU59" s="249"/>
      <c r="AV59" s="249"/>
      <c r="AW59" s="249"/>
      <c r="AX59" s="249"/>
      <c r="AY59" s="297">
        <f aca="true" t="shared" si="102" ref="AY59:AY65">SUM(AY27:BE27)</f>
        <v>0</v>
      </c>
      <c r="AZ59" s="303">
        <v>1</v>
      </c>
      <c r="BA59" s="249"/>
      <c r="BB59" s="249"/>
      <c r="BC59" s="249"/>
      <c r="BD59" s="249"/>
      <c r="BE59" s="249"/>
      <c r="BF59" s="297">
        <f aca="true" t="shared" si="103" ref="BF59:BF65">SUM(BF27:BL27)</f>
        <v>0</v>
      </c>
      <c r="BG59" s="303">
        <v>1</v>
      </c>
      <c r="BH59" s="249"/>
      <c r="BI59" s="249"/>
      <c r="BJ59" s="249"/>
      <c r="BK59" s="249"/>
      <c r="BL59" s="249"/>
      <c r="BM59" s="297">
        <f aca="true" t="shared" si="104" ref="BM59:BM65">SUM(BM27:BS27)</f>
        <v>0</v>
      </c>
      <c r="BN59" s="303">
        <v>1</v>
      </c>
      <c r="BO59" s="249"/>
      <c r="BP59" s="249"/>
      <c r="BQ59" s="249"/>
      <c r="BR59" s="249"/>
      <c r="BS59" s="249"/>
      <c r="BT59" s="297">
        <f aca="true" t="shared" si="105" ref="BT59:BT65">SUM(BT27:BZ27)</f>
        <v>0</v>
      </c>
      <c r="BU59" s="303">
        <v>1</v>
      </c>
      <c r="BV59" s="249"/>
      <c r="BW59" s="249"/>
      <c r="BX59" s="249"/>
      <c r="BY59" s="249"/>
      <c r="BZ59" s="249"/>
      <c r="CA59" s="297">
        <f aca="true" t="shared" si="106" ref="CA59:CA65">SUM(CA27:CG27)</f>
        <v>0</v>
      </c>
      <c r="CB59" s="303">
        <v>1</v>
      </c>
      <c r="CC59" s="249"/>
      <c r="CD59" s="249"/>
      <c r="CE59" s="249"/>
      <c r="CF59" s="249"/>
      <c r="CG59" s="249"/>
      <c r="CH59" s="297">
        <f aca="true" t="shared" si="107" ref="CH59:CH65">SUM(CH27:CN27)</f>
        <v>0</v>
      </c>
      <c r="CI59" s="303">
        <v>1</v>
      </c>
      <c r="CJ59" s="249"/>
      <c r="CK59" s="249"/>
      <c r="CL59" s="249"/>
      <c r="CM59" s="249"/>
      <c r="CN59" s="249"/>
      <c r="CO59" s="297">
        <f aca="true" t="shared" si="108" ref="CO59:CO65">SUM(CO27:CU27)</f>
        <v>0</v>
      </c>
      <c r="CP59" s="303">
        <v>1</v>
      </c>
      <c r="CQ59" s="249"/>
      <c r="CR59" s="249"/>
      <c r="CS59" s="249"/>
      <c r="CT59" s="249"/>
      <c r="CU59" s="249"/>
      <c r="CV59" s="297">
        <f aca="true" t="shared" si="109" ref="CV59:CV65">SUM(CV27:DB27)</f>
        <v>0</v>
      </c>
      <c r="CW59" s="303">
        <v>1</v>
      </c>
      <c r="CX59" s="249"/>
      <c r="CY59" s="249"/>
      <c r="CZ59" s="249"/>
      <c r="DA59" s="249"/>
      <c r="DB59" s="249"/>
      <c r="DC59" s="297">
        <f aca="true" t="shared" si="110" ref="DC59:DC65">SUM(DC27:DI27)</f>
        <v>0</v>
      </c>
      <c r="DD59" s="303">
        <v>1</v>
      </c>
      <c r="DE59" s="249"/>
      <c r="DF59" s="249"/>
      <c r="DG59" s="249"/>
      <c r="DH59" s="249"/>
      <c r="DI59" s="249"/>
      <c r="DJ59" s="297">
        <f aca="true" t="shared" si="111" ref="DJ59:DJ65">SUM(DJ27:DP27)</f>
        <v>0</v>
      </c>
      <c r="DK59" s="303">
        <v>1</v>
      </c>
      <c r="DL59" s="249"/>
      <c r="DM59" s="249"/>
      <c r="DN59" s="249"/>
      <c r="DO59" s="249"/>
      <c r="DP59" s="249"/>
      <c r="DQ59" s="297">
        <f aca="true" t="shared" si="112" ref="DQ59:DQ65">SUM(DQ27:DW27)</f>
        <v>0</v>
      </c>
      <c r="DR59" s="303">
        <v>1</v>
      </c>
      <c r="DS59" s="249"/>
      <c r="DT59" s="249"/>
      <c r="DU59" s="249"/>
      <c r="DV59" s="249"/>
      <c r="DW59" s="249"/>
      <c r="DX59" s="297">
        <f aca="true" t="shared" si="113" ref="DX59:DX65">SUM(DX27:ED27)</f>
        <v>0</v>
      </c>
      <c r="DY59" s="303">
        <v>1</v>
      </c>
      <c r="DZ59" s="249"/>
      <c r="EA59" s="249"/>
      <c r="EB59" s="249"/>
      <c r="EC59" s="249"/>
      <c r="ED59" s="249"/>
      <c r="EE59" s="297">
        <f aca="true" t="shared" si="114" ref="EE59:EE65">SUM(EE27:EK27)</f>
        <v>0</v>
      </c>
      <c r="EF59" s="303">
        <v>1</v>
      </c>
      <c r="EG59" s="249"/>
      <c r="EH59" s="249"/>
      <c r="EI59" s="249"/>
      <c r="EJ59" s="249"/>
      <c r="EK59" s="249"/>
      <c r="EL59" s="297">
        <f aca="true" t="shared" si="115" ref="EL59:EL65">SUM(EL27:ER27)</f>
        <v>0</v>
      </c>
      <c r="EM59" s="303">
        <v>1</v>
      </c>
      <c r="EN59" s="249"/>
      <c r="EO59" s="249"/>
      <c r="EP59" s="249"/>
      <c r="EQ59" s="249"/>
      <c r="ER59" s="249"/>
      <c r="ES59" s="297">
        <f aca="true" t="shared" si="116" ref="ES59:ES65">SUM(ES27:EY27)</f>
        <v>0</v>
      </c>
      <c r="ET59" s="303">
        <v>1</v>
      </c>
      <c r="EU59" s="249"/>
      <c r="EV59" s="249"/>
      <c r="EW59" s="249"/>
      <c r="EX59" s="249"/>
      <c r="EY59" s="249"/>
      <c r="EZ59" s="297">
        <f aca="true" t="shared" si="117" ref="EZ59:EZ65">SUM(EZ27:FF27)</f>
        <v>0</v>
      </c>
      <c r="FA59" s="303">
        <v>1</v>
      </c>
      <c r="FB59" s="249"/>
      <c r="FC59" s="249"/>
      <c r="FD59" s="249"/>
      <c r="FE59" s="249"/>
      <c r="FF59" s="249"/>
      <c r="FG59" s="297">
        <f aca="true" t="shared" si="118" ref="FG59:FG65">SUM(FG27:FM27)</f>
        <v>0</v>
      </c>
      <c r="FH59" s="303">
        <v>1</v>
      </c>
      <c r="FI59" s="249"/>
      <c r="FJ59" s="249"/>
      <c r="FK59" s="249"/>
      <c r="FL59" s="249"/>
      <c r="FM59" s="249"/>
      <c r="FN59" s="297">
        <f aca="true" t="shared" si="119" ref="FN59:FN65">SUM(FN27:FT27)</f>
        <v>0</v>
      </c>
      <c r="FO59" s="303">
        <v>1</v>
      </c>
      <c r="FP59" s="249"/>
      <c r="FQ59" s="249"/>
      <c r="FR59" s="249"/>
      <c r="FS59" s="249"/>
      <c r="FT59" s="249"/>
      <c r="FU59" s="297">
        <f aca="true" t="shared" si="120" ref="FU59:FU65">SUM(FU27:GA27)</f>
        <v>0</v>
      </c>
      <c r="FV59" s="303">
        <v>1</v>
      </c>
      <c r="FW59" s="249"/>
      <c r="FX59" s="249"/>
      <c r="FY59" s="249"/>
      <c r="FZ59" s="249"/>
      <c r="GA59" s="249"/>
      <c r="GB59" s="297">
        <f aca="true" t="shared" si="121" ref="GB59:GB65">SUM(GB27:GH27)</f>
        <v>0</v>
      </c>
      <c r="GC59" s="303">
        <v>1</v>
      </c>
      <c r="GD59" s="249"/>
      <c r="GE59" s="249"/>
      <c r="GF59" s="249"/>
      <c r="GG59" s="249"/>
      <c r="GH59" s="249"/>
    </row>
    <row r="60" spans="1:190" ht="12.75">
      <c r="A60" s="304" t="s">
        <v>0</v>
      </c>
      <c r="B60" s="297">
        <f t="shared" si="95"/>
        <v>7</v>
      </c>
      <c r="C60" s="303">
        <f>B60/B59</f>
        <v>0.8974358974358975</v>
      </c>
      <c r="D60" s="249"/>
      <c r="E60" s="249"/>
      <c r="F60" s="249"/>
      <c r="G60" s="249"/>
      <c r="H60" s="249"/>
      <c r="I60" s="297">
        <f t="shared" si="96"/>
        <v>0</v>
      </c>
      <c r="J60" s="303" t="e">
        <f>I60/I59</f>
        <v>#DIV/0!</v>
      </c>
      <c r="K60" s="249"/>
      <c r="L60" s="249"/>
      <c r="M60" s="249"/>
      <c r="N60" s="249"/>
      <c r="O60" s="249"/>
      <c r="P60" s="297">
        <f t="shared" si="97"/>
        <v>0</v>
      </c>
      <c r="Q60" s="303" t="e">
        <f>P60/P59</f>
        <v>#DIV/0!</v>
      </c>
      <c r="R60" s="249"/>
      <c r="S60" s="249"/>
      <c r="T60" s="249"/>
      <c r="U60" s="249"/>
      <c r="V60" s="249"/>
      <c r="W60" s="297">
        <f t="shared" si="98"/>
        <v>0</v>
      </c>
      <c r="X60" s="303" t="e">
        <f>W60/W59</f>
        <v>#DIV/0!</v>
      </c>
      <c r="Y60" s="249"/>
      <c r="Z60" s="249"/>
      <c r="AA60" s="249"/>
      <c r="AB60" s="249"/>
      <c r="AC60" s="249"/>
      <c r="AD60" s="297">
        <f t="shared" si="99"/>
        <v>0</v>
      </c>
      <c r="AE60" s="303" t="e">
        <f>AD60/AD59</f>
        <v>#DIV/0!</v>
      </c>
      <c r="AF60" s="249"/>
      <c r="AG60" s="249"/>
      <c r="AH60" s="249"/>
      <c r="AI60" s="249"/>
      <c r="AJ60" s="249"/>
      <c r="AK60" s="297">
        <f t="shared" si="100"/>
        <v>0</v>
      </c>
      <c r="AL60" s="303" t="e">
        <f>AK60/AK59</f>
        <v>#DIV/0!</v>
      </c>
      <c r="AM60" s="249"/>
      <c r="AN60" s="249"/>
      <c r="AO60" s="249"/>
      <c r="AP60" s="249"/>
      <c r="AQ60" s="249"/>
      <c r="AR60" s="297">
        <f t="shared" si="101"/>
        <v>0</v>
      </c>
      <c r="AS60" s="303" t="e">
        <f>AR60/AR59</f>
        <v>#DIV/0!</v>
      </c>
      <c r="AT60" s="249"/>
      <c r="AU60" s="249"/>
      <c r="AV60" s="249"/>
      <c r="AW60" s="249"/>
      <c r="AX60" s="249"/>
      <c r="AY60" s="297">
        <f t="shared" si="102"/>
        <v>0</v>
      </c>
      <c r="AZ60" s="303" t="e">
        <f>AY60/AY59</f>
        <v>#DIV/0!</v>
      </c>
      <c r="BA60" s="249"/>
      <c r="BB60" s="249"/>
      <c r="BC60" s="249"/>
      <c r="BD60" s="249"/>
      <c r="BE60" s="249"/>
      <c r="BF60" s="297">
        <f t="shared" si="103"/>
        <v>0</v>
      </c>
      <c r="BG60" s="303" t="e">
        <f>BF60/BF59</f>
        <v>#DIV/0!</v>
      </c>
      <c r="BH60" s="249"/>
      <c r="BI60" s="249"/>
      <c r="BJ60" s="249"/>
      <c r="BK60" s="249"/>
      <c r="BL60" s="249"/>
      <c r="BM60" s="297">
        <f t="shared" si="104"/>
        <v>0</v>
      </c>
      <c r="BN60" s="303" t="e">
        <f>BM60/BM59</f>
        <v>#DIV/0!</v>
      </c>
      <c r="BO60" s="249"/>
      <c r="BP60" s="249"/>
      <c r="BQ60" s="249"/>
      <c r="BR60" s="249"/>
      <c r="BS60" s="249"/>
      <c r="BT60" s="297">
        <f t="shared" si="105"/>
        <v>0</v>
      </c>
      <c r="BU60" s="303" t="e">
        <f>BT60/BT59</f>
        <v>#DIV/0!</v>
      </c>
      <c r="BV60" s="249"/>
      <c r="BW60" s="249"/>
      <c r="BX60" s="249"/>
      <c r="BY60" s="249"/>
      <c r="BZ60" s="249"/>
      <c r="CA60" s="297">
        <f t="shared" si="106"/>
        <v>0</v>
      </c>
      <c r="CB60" s="303" t="e">
        <f>CA60/CA59</f>
        <v>#DIV/0!</v>
      </c>
      <c r="CC60" s="249"/>
      <c r="CD60" s="249"/>
      <c r="CE60" s="249"/>
      <c r="CF60" s="249"/>
      <c r="CG60" s="249"/>
      <c r="CH60" s="297">
        <f t="shared" si="107"/>
        <v>0</v>
      </c>
      <c r="CI60" s="303" t="e">
        <f>CH60/CH59</f>
        <v>#DIV/0!</v>
      </c>
      <c r="CJ60" s="249"/>
      <c r="CK60" s="249"/>
      <c r="CL60" s="249"/>
      <c r="CM60" s="249"/>
      <c r="CN60" s="249"/>
      <c r="CO60" s="297">
        <f t="shared" si="108"/>
        <v>0</v>
      </c>
      <c r="CP60" s="303" t="e">
        <f>CO60/CO59</f>
        <v>#DIV/0!</v>
      </c>
      <c r="CQ60" s="249"/>
      <c r="CR60" s="249"/>
      <c r="CS60" s="249"/>
      <c r="CT60" s="249"/>
      <c r="CU60" s="249"/>
      <c r="CV60" s="297">
        <f t="shared" si="109"/>
        <v>0</v>
      </c>
      <c r="CW60" s="303" t="e">
        <f>CV60/CV59</f>
        <v>#DIV/0!</v>
      </c>
      <c r="CX60" s="249"/>
      <c r="CY60" s="249"/>
      <c r="CZ60" s="249"/>
      <c r="DA60" s="249"/>
      <c r="DB60" s="249"/>
      <c r="DC60" s="297">
        <f t="shared" si="110"/>
        <v>0</v>
      </c>
      <c r="DD60" s="303" t="e">
        <f>DC60/DC59</f>
        <v>#DIV/0!</v>
      </c>
      <c r="DE60" s="249"/>
      <c r="DF60" s="249"/>
      <c r="DG60" s="249"/>
      <c r="DH60" s="249"/>
      <c r="DI60" s="249"/>
      <c r="DJ60" s="297">
        <f t="shared" si="111"/>
        <v>0</v>
      </c>
      <c r="DK60" s="303" t="e">
        <f>DJ60/DJ59</f>
        <v>#DIV/0!</v>
      </c>
      <c r="DL60" s="249"/>
      <c r="DM60" s="249"/>
      <c r="DN60" s="249"/>
      <c r="DO60" s="249"/>
      <c r="DP60" s="249"/>
      <c r="DQ60" s="297">
        <f t="shared" si="112"/>
        <v>0</v>
      </c>
      <c r="DR60" s="303" t="e">
        <f>DQ60/DQ59</f>
        <v>#DIV/0!</v>
      </c>
      <c r="DS60" s="249"/>
      <c r="DT60" s="249"/>
      <c r="DU60" s="249"/>
      <c r="DV60" s="249"/>
      <c r="DW60" s="249"/>
      <c r="DX60" s="297">
        <f t="shared" si="113"/>
        <v>0</v>
      </c>
      <c r="DY60" s="303" t="e">
        <f>DX60/DX59</f>
        <v>#DIV/0!</v>
      </c>
      <c r="DZ60" s="249"/>
      <c r="EA60" s="249"/>
      <c r="EB60" s="249"/>
      <c r="EC60" s="249"/>
      <c r="ED60" s="249"/>
      <c r="EE60" s="297">
        <f t="shared" si="114"/>
        <v>0</v>
      </c>
      <c r="EF60" s="303" t="e">
        <f>EE60/EE59</f>
        <v>#DIV/0!</v>
      </c>
      <c r="EG60" s="249"/>
      <c r="EH60" s="249"/>
      <c r="EI60" s="249"/>
      <c r="EJ60" s="249"/>
      <c r="EK60" s="249"/>
      <c r="EL60" s="297">
        <f t="shared" si="115"/>
        <v>0</v>
      </c>
      <c r="EM60" s="303" t="e">
        <f>EL60/EL59</f>
        <v>#DIV/0!</v>
      </c>
      <c r="EN60" s="249"/>
      <c r="EO60" s="249"/>
      <c r="EP60" s="249"/>
      <c r="EQ60" s="249"/>
      <c r="ER60" s="249"/>
      <c r="ES60" s="297">
        <f t="shared" si="116"/>
        <v>0</v>
      </c>
      <c r="ET60" s="303" t="e">
        <f>ES60/ES59</f>
        <v>#DIV/0!</v>
      </c>
      <c r="EU60" s="249"/>
      <c r="EV60" s="249"/>
      <c r="EW60" s="249"/>
      <c r="EX60" s="249"/>
      <c r="EY60" s="249"/>
      <c r="EZ60" s="297">
        <f t="shared" si="117"/>
        <v>0</v>
      </c>
      <c r="FA60" s="303" t="e">
        <f>EZ60/EZ59</f>
        <v>#DIV/0!</v>
      </c>
      <c r="FB60" s="249"/>
      <c r="FC60" s="249"/>
      <c r="FD60" s="249"/>
      <c r="FE60" s="249"/>
      <c r="FF60" s="249"/>
      <c r="FG60" s="297">
        <f t="shared" si="118"/>
        <v>0</v>
      </c>
      <c r="FH60" s="303" t="e">
        <f>FG60/FG59</f>
        <v>#DIV/0!</v>
      </c>
      <c r="FI60" s="249"/>
      <c r="FJ60" s="249"/>
      <c r="FK60" s="249"/>
      <c r="FL60" s="249"/>
      <c r="FM60" s="249"/>
      <c r="FN60" s="297">
        <f t="shared" si="119"/>
        <v>0</v>
      </c>
      <c r="FO60" s="303" t="e">
        <f>FN60/FN59</f>
        <v>#DIV/0!</v>
      </c>
      <c r="FP60" s="249"/>
      <c r="FQ60" s="249"/>
      <c r="FR60" s="249"/>
      <c r="FS60" s="249"/>
      <c r="FT60" s="249"/>
      <c r="FU60" s="297">
        <f t="shared" si="120"/>
        <v>0</v>
      </c>
      <c r="FV60" s="303" t="e">
        <f>FU60/FU59</f>
        <v>#DIV/0!</v>
      </c>
      <c r="FW60" s="249"/>
      <c r="FX60" s="249"/>
      <c r="FY60" s="249"/>
      <c r="FZ60" s="249"/>
      <c r="GA60" s="249"/>
      <c r="GB60" s="297">
        <f t="shared" si="121"/>
        <v>0</v>
      </c>
      <c r="GC60" s="303" t="e">
        <f>GB60/GB59</f>
        <v>#DIV/0!</v>
      </c>
      <c r="GD60" s="249"/>
      <c r="GE60" s="249"/>
      <c r="GF60" s="249"/>
      <c r="GG60" s="249"/>
      <c r="GH60" s="249"/>
    </row>
    <row r="61" spans="1:190" ht="12.75">
      <c r="A61" s="304" t="s">
        <v>1</v>
      </c>
      <c r="B61" s="297">
        <f t="shared" si="95"/>
        <v>0.8</v>
      </c>
      <c r="C61" s="303">
        <f>B61/B59</f>
        <v>0.10256410256410257</v>
      </c>
      <c r="D61" s="249"/>
      <c r="E61" s="249"/>
      <c r="F61" s="249"/>
      <c r="G61" s="249"/>
      <c r="H61" s="249"/>
      <c r="I61" s="297">
        <f t="shared" si="96"/>
        <v>0</v>
      </c>
      <c r="J61" s="303" t="e">
        <f>I61/I59</f>
        <v>#DIV/0!</v>
      </c>
      <c r="K61" s="249"/>
      <c r="L61" s="249"/>
      <c r="M61" s="249"/>
      <c r="N61" s="249"/>
      <c r="O61" s="249"/>
      <c r="P61" s="297">
        <f t="shared" si="97"/>
        <v>0</v>
      </c>
      <c r="Q61" s="303" t="e">
        <f>P61/P59</f>
        <v>#DIV/0!</v>
      </c>
      <c r="R61" s="249"/>
      <c r="S61" s="249"/>
      <c r="T61" s="249"/>
      <c r="U61" s="249"/>
      <c r="V61" s="249"/>
      <c r="W61" s="297">
        <f t="shared" si="98"/>
        <v>0</v>
      </c>
      <c r="X61" s="303" t="e">
        <f>W61/W59</f>
        <v>#DIV/0!</v>
      </c>
      <c r="Y61" s="249"/>
      <c r="Z61" s="249"/>
      <c r="AA61" s="249"/>
      <c r="AB61" s="249"/>
      <c r="AC61" s="249"/>
      <c r="AD61" s="297">
        <f t="shared" si="99"/>
        <v>0</v>
      </c>
      <c r="AE61" s="303" t="e">
        <f>AD61/AD59</f>
        <v>#DIV/0!</v>
      </c>
      <c r="AF61" s="249"/>
      <c r="AG61" s="249"/>
      <c r="AH61" s="249"/>
      <c r="AI61" s="249"/>
      <c r="AJ61" s="249"/>
      <c r="AK61" s="297">
        <f t="shared" si="100"/>
        <v>0</v>
      </c>
      <c r="AL61" s="303" t="e">
        <f>AK61/AK59</f>
        <v>#DIV/0!</v>
      </c>
      <c r="AM61" s="249"/>
      <c r="AN61" s="249"/>
      <c r="AO61" s="249"/>
      <c r="AP61" s="249"/>
      <c r="AQ61" s="249"/>
      <c r="AR61" s="297">
        <f t="shared" si="101"/>
        <v>0</v>
      </c>
      <c r="AS61" s="303" t="e">
        <f>AR61/AR59</f>
        <v>#DIV/0!</v>
      </c>
      <c r="AT61" s="249"/>
      <c r="AU61" s="249"/>
      <c r="AV61" s="249"/>
      <c r="AW61" s="249"/>
      <c r="AX61" s="249"/>
      <c r="AY61" s="297">
        <f t="shared" si="102"/>
        <v>0</v>
      </c>
      <c r="AZ61" s="303" t="e">
        <f>AY61/AY59</f>
        <v>#DIV/0!</v>
      </c>
      <c r="BA61" s="249"/>
      <c r="BB61" s="249"/>
      <c r="BC61" s="249"/>
      <c r="BD61" s="249"/>
      <c r="BE61" s="249"/>
      <c r="BF61" s="297">
        <f t="shared" si="103"/>
        <v>0</v>
      </c>
      <c r="BG61" s="303" t="e">
        <f>BF61/BF59</f>
        <v>#DIV/0!</v>
      </c>
      <c r="BH61" s="249"/>
      <c r="BI61" s="249"/>
      <c r="BJ61" s="249"/>
      <c r="BK61" s="249"/>
      <c r="BL61" s="249"/>
      <c r="BM61" s="297">
        <f t="shared" si="104"/>
        <v>0</v>
      </c>
      <c r="BN61" s="303" t="e">
        <f>BM61/BM59</f>
        <v>#DIV/0!</v>
      </c>
      <c r="BO61" s="249"/>
      <c r="BP61" s="249"/>
      <c r="BQ61" s="249"/>
      <c r="BR61" s="249"/>
      <c r="BS61" s="249"/>
      <c r="BT61" s="297">
        <f t="shared" si="105"/>
        <v>0</v>
      </c>
      <c r="BU61" s="303" t="e">
        <f>BT61/BT59</f>
        <v>#DIV/0!</v>
      </c>
      <c r="BV61" s="249"/>
      <c r="BW61" s="249"/>
      <c r="BX61" s="249"/>
      <c r="BY61" s="249"/>
      <c r="BZ61" s="249"/>
      <c r="CA61" s="297">
        <f t="shared" si="106"/>
        <v>0</v>
      </c>
      <c r="CB61" s="303" t="e">
        <f>CA61/CA59</f>
        <v>#DIV/0!</v>
      </c>
      <c r="CC61" s="249"/>
      <c r="CD61" s="249"/>
      <c r="CE61" s="249"/>
      <c r="CF61" s="249"/>
      <c r="CG61" s="249"/>
      <c r="CH61" s="297">
        <f t="shared" si="107"/>
        <v>0</v>
      </c>
      <c r="CI61" s="303" t="e">
        <f>CH61/CH59</f>
        <v>#DIV/0!</v>
      </c>
      <c r="CJ61" s="249"/>
      <c r="CK61" s="249"/>
      <c r="CL61" s="249"/>
      <c r="CM61" s="249"/>
      <c r="CN61" s="249"/>
      <c r="CO61" s="297">
        <f t="shared" si="108"/>
        <v>0</v>
      </c>
      <c r="CP61" s="303" t="e">
        <f>CO61/CO59</f>
        <v>#DIV/0!</v>
      </c>
      <c r="CQ61" s="249"/>
      <c r="CR61" s="249"/>
      <c r="CS61" s="249"/>
      <c r="CT61" s="249"/>
      <c r="CU61" s="249"/>
      <c r="CV61" s="297">
        <f t="shared" si="109"/>
        <v>0</v>
      </c>
      <c r="CW61" s="303" t="e">
        <f>CV61/CV59</f>
        <v>#DIV/0!</v>
      </c>
      <c r="CX61" s="249"/>
      <c r="CY61" s="249"/>
      <c r="CZ61" s="249"/>
      <c r="DA61" s="249"/>
      <c r="DB61" s="249"/>
      <c r="DC61" s="297">
        <f t="shared" si="110"/>
        <v>0</v>
      </c>
      <c r="DD61" s="303" t="e">
        <f>DC61/DC59</f>
        <v>#DIV/0!</v>
      </c>
      <c r="DE61" s="249"/>
      <c r="DF61" s="249"/>
      <c r="DG61" s="249"/>
      <c r="DH61" s="249"/>
      <c r="DI61" s="249"/>
      <c r="DJ61" s="297">
        <f t="shared" si="111"/>
        <v>0</v>
      </c>
      <c r="DK61" s="303" t="e">
        <f>DJ61/DJ59</f>
        <v>#DIV/0!</v>
      </c>
      <c r="DL61" s="249"/>
      <c r="DM61" s="249"/>
      <c r="DN61" s="249"/>
      <c r="DO61" s="249"/>
      <c r="DP61" s="249"/>
      <c r="DQ61" s="297">
        <f t="shared" si="112"/>
        <v>0</v>
      </c>
      <c r="DR61" s="303" t="e">
        <f>DQ61/DQ59</f>
        <v>#DIV/0!</v>
      </c>
      <c r="DS61" s="249"/>
      <c r="DT61" s="249"/>
      <c r="DU61" s="249"/>
      <c r="DV61" s="249"/>
      <c r="DW61" s="249"/>
      <c r="DX61" s="297">
        <f t="shared" si="113"/>
        <v>0</v>
      </c>
      <c r="DY61" s="303" t="e">
        <f>DX61/DX59</f>
        <v>#DIV/0!</v>
      </c>
      <c r="DZ61" s="249"/>
      <c r="EA61" s="249"/>
      <c r="EB61" s="249"/>
      <c r="EC61" s="249"/>
      <c r="ED61" s="249"/>
      <c r="EE61" s="297">
        <f t="shared" si="114"/>
        <v>0</v>
      </c>
      <c r="EF61" s="303" t="e">
        <f>EE61/EE59</f>
        <v>#DIV/0!</v>
      </c>
      <c r="EG61" s="249"/>
      <c r="EH61" s="249"/>
      <c r="EI61" s="249"/>
      <c r="EJ61" s="249"/>
      <c r="EK61" s="249"/>
      <c r="EL61" s="297">
        <f t="shared" si="115"/>
        <v>0</v>
      </c>
      <c r="EM61" s="303" t="e">
        <f>EL61/EL59</f>
        <v>#DIV/0!</v>
      </c>
      <c r="EN61" s="249"/>
      <c r="EO61" s="249"/>
      <c r="EP61" s="249"/>
      <c r="EQ61" s="249"/>
      <c r="ER61" s="249"/>
      <c r="ES61" s="297">
        <f t="shared" si="116"/>
        <v>0</v>
      </c>
      <c r="ET61" s="303" t="e">
        <f>ES61/ES59</f>
        <v>#DIV/0!</v>
      </c>
      <c r="EU61" s="249"/>
      <c r="EV61" s="249"/>
      <c r="EW61" s="249"/>
      <c r="EX61" s="249"/>
      <c r="EY61" s="249"/>
      <c r="EZ61" s="297">
        <f t="shared" si="117"/>
        <v>0</v>
      </c>
      <c r="FA61" s="303" t="e">
        <f>EZ61/EZ59</f>
        <v>#DIV/0!</v>
      </c>
      <c r="FB61" s="249"/>
      <c r="FC61" s="249"/>
      <c r="FD61" s="249"/>
      <c r="FE61" s="249"/>
      <c r="FF61" s="249"/>
      <c r="FG61" s="297">
        <f t="shared" si="118"/>
        <v>0</v>
      </c>
      <c r="FH61" s="303" t="e">
        <f>FG61/FG59</f>
        <v>#DIV/0!</v>
      </c>
      <c r="FI61" s="249"/>
      <c r="FJ61" s="249"/>
      <c r="FK61" s="249"/>
      <c r="FL61" s="249"/>
      <c r="FM61" s="249"/>
      <c r="FN61" s="297">
        <f t="shared" si="119"/>
        <v>0</v>
      </c>
      <c r="FO61" s="303" t="e">
        <f>FN61/FN59</f>
        <v>#DIV/0!</v>
      </c>
      <c r="FP61" s="249"/>
      <c r="FQ61" s="249"/>
      <c r="FR61" s="249"/>
      <c r="FS61" s="249"/>
      <c r="FT61" s="249"/>
      <c r="FU61" s="297">
        <f t="shared" si="120"/>
        <v>0</v>
      </c>
      <c r="FV61" s="303" t="e">
        <f>FU61/FU59</f>
        <v>#DIV/0!</v>
      </c>
      <c r="FW61" s="249"/>
      <c r="FX61" s="249"/>
      <c r="FY61" s="249"/>
      <c r="FZ61" s="249"/>
      <c r="GA61" s="249"/>
      <c r="GB61" s="297">
        <f t="shared" si="121"/>
        <v>0</v>
      </c>
      <c r="GC61" s="303" t="e">
        <f>GB61/GB59</f>
        <v>#DIV/0!</v>
      </c>
      <c r="GD61" s="249"/>
      <c r="GE61" s="249"/>
      <c r="GF61" s="249"/>
      <c r="GG61" s="249"/>
      <c r="GH61" s="249"/>
    </row>
    <row r="62" spans="1:190" ht="12.75">
      <c r="A62" s="304" t="s">
        <v>260</v>
      </c>
      <c r="B62" s="297">
        <f t="shared" si="95"/>
        <v>0</v>
      </c>
      <c r="C62" s="303">
        <f>B62/B59</f>
        <v>0</v>
      </c>
      <c r="D62" s="249"/>
      <c r="E62" s="249"/>
      <c r="F62" s="249"/>
      <c r="G62" s="249"/>
      <c r="H62" s="249"/>
      <c r="I62" s="297">
        <f t="shared" si="96"/>
        <v>0</v>
      </c>
      <c r="J62" s="303" t="e">
        <f>I62/I59</f>
        <v>#DIV/0!</v>
      </c>
      <c r="K62" s="249"/>
      <c r="L62" s="249"/>
      <c r="M62" s="249"/>
      <c r="N62" s="249"/>
      <c r="O62" s="249"/>
      <c r="P62" s="297">
        <f t="shared" si="97"/>
        <v>0</v>
      </c>
      <c r="Q62" s="303" t="e">
        <f>P62/P59</f>
        <v>#DIV/0!</v>
      </c>
      <c r="R62" s="249"/>
      <c r="S62" s="249"/>
      <c r="T62" s="249"/>
      <c r="U62" s="249"/>
      <c r="V62" s="249"/>
      <c r="W62" s="297">
        <f t="shared" si="98"/>
        <v>0</v>
      </c>
      <c r="X62" s="303" t="e">
        <f>W62/W59</f>
        <v>#DIV/0!</v>
      </c>
      <c r="Y62" s="249"/>
      <c r="Z62" s="249"/>
      <c r="AA62" s="249"/>
      <c r="AB62" s="249"/>
      <c r="AC62" s="249"/>
      <c r="AD62" s="297">
        <f t="shared" si="99"/>
        <v>0</v>
      </c>
      <c r="AE62" s="303" t="e">
        <f>AD62/AD59</f>
        <v>#DIV/0!</v>
      </c>
      <c r="AF62" s="249"/>
      <c r="AG62" s="249"/>
      <c r="AH62" s="249"/>
      <c r="AI62" s="249"/>
      <c r="AJ62" s="249"/>
      <c r="AK62" s="297">
        <f t="shared" si="100"/>
        <v>0</v>
      </c>
      <c r="AL62" s="303" t="e">
        <f>AK62/AK59</f>
        <v>#DIV/0!</v>
      </c>
      <c r="AM62" s="249"/>
      <c r="AN62" s="249"/>
      <c r="AO62" s="249"/>
      <c r="AP62" s="249"/>
      <c r="AQ62" s="249"/>
      <c r="AR62" s="297">
        <f t="shared" si="101"/>
        <v>0</v>
      </c>
      <c r="AS62" s="303" t="e">
        <f>AR62/AR59</f>
        <v>#DIV/0!</v>
      </c>
      <c r="AT62" s="249"/>
      <c r="AU62" s="249"/>
      <c r="AV62" s="249"/>
      <c r="AW62" s="249"/>
      <c r="AX62" s="249"/>
      <c r="AY62" s="297">
        <f t="shared" si="102"/>
        <v>0</v>
      </c>
      <c r="AZ62" s="303" t="e">
        <f>AY62/AY59</f>
        <v>#DIV/0!</v>
      </c>
      <c r="BA62" s="249"/>
      <c r="BB62" s="249"/>
      <c r="BC62" s="249"/>
      <c r="BD62" s="249"/>
      <c r="BE62" s="249"/>
      <c r="BF62" s="297">
        <f t="shared" si="103"/>
        <v>0</v>
      </c>
      <c r="BG62" s="303" t="e">
        <f>BF62/BF59</f>
        <v>#DIV/0!</v>
      </c>
      <c r="BH62" s="249"/>
      <c r="BI62" s="249"/>
      <c r="BJ62" s="249"/>
      <c r="BK62" s="249"/>
      <c r="BL62" s="249"/>
      <c r="BM62" s="297">
        <f t="shared" si="104"/>
        <v>0</v>
      </c>
      <c r="BN62" s="303" t="e">
        <f>BM62/BM59</f>
        <v>#DIV/0!</v>
      </c>
      <c r="BO62" s="249"/>
      <c r="BP62" s="249"/>
      <c r="BQ62" s="249"/>
      <c r="BR62" s="249"/>
      <c r="BS62" s="249"/>
      <c r="BT62" s="297">
        <f t="shared" si="105"/>
        <v>0</v>
      </c>
      <c r="BU62" s="303" t="e">
        <f>BT62/BT59</f>
        <v>#DIV/0!</v>
      </c>
      <c r="BV62" s="249"/>
      <c r="BW62" s="249"/>
      <c r="BX62" s="249"/>
      <c r="BY62" s="249"/>
      <c r="BZ62" s="249"/>
      <c r="CA62" s="297">
        <f t="shared" si="106"/>
        <v>0</v>
      </c>
      <c r="CB62" s="303" t="e">
        <f>CA62/CA59</f>
        <v>#DIV/0!</v>
      </c>
      <c r="CC62" s="249"/>
      <c r="CD62" s="249"/>
      <c r="CE62" s="249"/>
      <c r="CF62" s="249"/>
      <c r="CG62" s="249"/>
      <c r="CH62" s="297">
        <f t="shared" si="107"/>
        <v>0</v>
      </c>
      <c r="CI62" s="303" t="e">
        <f>CH62/CH59</f>
        <v>#DIV/0!</v>
      </c>
      <c r="CJ62" s="249"/>
      <c r="CK62" s="249"/>
      <c r="CL62" s="249"/>
      <c r="CM62" s="249"/>
      <c r="CN62" s="249"/>
      <c r="CO62" s="297">
        <f t="shared" si="108"/>
        <v>0</v>
      </c>
      <c r="CP62" s="303" t="e">
        <f>CO62/CO59</f>
        <v>#DIV/0!</v>
      </c>
      <c r="CQ62" s="249"/>
      <c r="CR62" s="249"/>
      <c r="CS62" s="249"/>
      <c r="CT62" s="249"/>
      <c r="CU62" s="249"/>
      <c r="CV62" s="297">
        <f t="shared" si="109"/>
        <v>0</v>
      </c>
      <c r="CW62" s="303" t="e">
        <f>CV62/CV59</f>
        <v>#DIV/0!</v>
      </c>
      <c r="CX62" s="249"/>
      <c r="CY62" s="249"/>
      <c r="CZ62" s="249"/>
      <c r="DA62" s="249"/>
      <c r="DB62" s="249"/>
      <c r="DC62" s="297">
        <f t="shared" si="110"/>
        <v>0</v>
      </c>
      <c r="DD62" s="303" t="e">
        <f>DC62/DC59</f>
        <v>#DIV/0!</v>
      </c>
      <c r="DE62" s="249"/>
      <c r="DF62" s="249"/>
      <c r="DG62" s="249"/>
      <c r="DH62" s="249"/>
      <c r="DI62" s="249"/>
      <c r="DJ62" s="297">
        <f t="shared" si="111"/>
        <v>0</v>
      </c>
      <c r="DK62" s="303" t="e">
        <f>DJ62/DJ59</f>
        <v>#DIV/0!</v>
      </c>
      <c r="DL62" s="249"/>
      <c r="DM62" s="249"/>
      <c r="DN62" s="249"/>
      <c r="DO62" s="249"/>
      <c r="DP62" s="249"/>
      <c r="DQ62" s="297">
        <f t="shared" si="112"/>
        <v>0</v>
      </c>
      <c r="DR62" s="303" t="e">
        <f>DQ62/DQ59</f>
        <v>#DIV/0!</v>
      </c>
      <c r="DS62" s="249"/>
      <c r="DT62" s="249"/>
      <c r="DU62" s="249"/>
      <c r="DV62" s="249"/>
      <c r="DW62" s="249"/>
      <c r="DX62" s="297">
        <f t="shared" si="113"/>
        <v>0</v>
      </c>
      <c r="DY62" s="303" t="e">
        <f>DX62/DX59</f>
        <v>#DIV/0!</v>
      </c>
      <c r="DZ62" s="249"/>
      <c r="EA62" s="249"/>
      <c r="EB62" s="249"/>
      <c r="EC62" s="249"/>
      <c r="ED62" s="249"/>
      <c r="EE62" s="297">
        <f t="shared" si="114"/>
        <v>0</v>
      </c>
      <c r="EF62" s="303" t="e">
        <f>EE62/EE59</f>
        <v>#DIV/0!</v>
      </c>
      <c r="EG62" s="249"/>
      <c r="EH62" s="249"/>
      <c r="EI62" s="249"/>
      <c r="EJ62" s="249"/>
      <c r="EK62" s="249"/>
      <c r="EL62" s="297">
        <f t="shared" si="115"/>
        <v>0</v>
      </c>
      <c r="EM62" s="303" t="e">
        <f>EL62/EL59</f>
        <v>#DIV/0!</v>
      </c>
      <c r="EN62" s="249"/>
      <c r="EO62" s="249"/>
      <c r="EP62" s="249"/>
      <c r="EQ62" s="249"/>
      <c r="ER62" s="249"/>
      <c r="ES62" s="297">
        <f t="shared" si="116"/>
        <v>0</v>
      </c>
      <c r="ET62" s="303" t="e">
        <f>ES62/ES59</f>
        <v>#DIV/0!</v>
      </c>
      <c r="EU62" s="249"/>
      <c r="EV62" s="249"/>
      <c r="EW62" s="249"/>
      <c r="EX62" s="249"/>
      <c r="EY62" s="249"/>
      <c r="EZ62" s="297">
        <f t="shared" si="117"/>
        <v>0</v>
      </c>
      <c r="FA62" s="303" t="e">
        <f>EZ62/EZ59</f>
        <v>#DIV/0!</v>
      </c>
      <c r="FB62" s="249"/>
      <c r="FC62" s="249"/>
      <c r="FD62" s="249"/>
      <c r="FE62" s="249"/>
      <c r="FF62" s="249"/>
      <c r="FG62" s="297">
        <f t="shared" si="118"/>
        <v>0</v>
      </c>
      <c r="FH62" s="303" t="e">
        <f>FG62/FG59</f>
        <v>#DIV/0!</v>
      </c>
      <c r="FI62" s="249"/>
      <c r="FJ62" s="249"/>
      <c r="FK62" s="249"/>
      <c r="FL62" s="249"/>
      <c r="FM62" s="249"/>
      <c r="FN62" s="297">
        <f t="shared" si="119"/>
        <v>0</v>
      </c>
      <c r="FO62" s="303" t="e">
        <f>FN62/FN59</f>
        <v>#DIV/0!</v>
      </c>
      <c r="FP62" s="249"/>
      <c r="FQ62" s="249"/>
      <c r="FR62" s="249"/>
      <c r="FS62" s="249"/>
      <c r="FT62" s="249"/>
      <c r="FU62" s="297">
        <f t="shared" si="120"/>
        <v>0</v>
      </c>
      <c r="FV62" s="303" t="e">
        <f>FU62/FU59</f>
        <v>#DIV/0!</v>
      </c>
      <c r="FW62" s="249"/>
      <c r="FX62" s="249"/>
      <c r="FY62" s="249"/>
      <c r="FZ62" s="249"/>
      <c r="GA62" s="249"/>
      <c r="GB62" s="297">
        <f t="shared" si="121"/>
        <v>0</v>
      </c>
      <c r="GC62" s="303" t="e">
        <f>GB62/GB59</f>
        <v>#DIV/0!</v>
      </c>
      <c r="GD62" s="249"/>
      <c r="GE62" s="249"/>
      <c r="GF62" s="249"/>
      <c r="GG62" s="249"/>
      <c r="GH62" s="249"/>
    </row>
    <row r="63" spans="1:190" ht="12.75">
      <c r="A63" s="304" t="s">
        <v>261</v>
      </c>
      <c r="B63" s="297">
        <f t="shared" si="95"/>
        <v>0</v>
      </c>
      <c r="C63" s="303">
        <f>B63/B59</f>
        <v>0</v>
      </c>
      <c r="D63" s="249"/>
      <c r="E63" s="249"/>
      <c r="F63" s="249"/>
      <c r="G63" s="249"/>
      <c r="H63" s="249"/>
      <c r="I63" s="297">
        <f t="shared" si="96"/>
        <v>0</v>
      </c>
      <c r="J63" s="303" t="e">
        <f>I63/I59</f>
        <v>#DIV/0!</v>
      </c>
      <c r="K63" s="249"/>
      <c r="L63" s="249"/>
      <c r="M63" s="249"/>
      <c r="N63" s="249"/>
      <c r="O63" s="249"/>
      <c r="P63" s="297">
        <f t="shared" si="97"/>
        <v>0</v>
      </c>
      <c r="Q63" s="303" t="e">
        <f>P63/P59</f>
        <v>#DIV/0!</v>
      </c>
      <c r="R63" s="249"/>
      <c r="S63" s="249"/>
      <c r="T63" s="249"/>
      <c r="U63" s="249"/>
      <c r="V63" s="249"/>
      <c r="W63" s="297">
        <f t="shared" si="98"/>
        <v>0</v>
      </c>
      <c r="X63" s="303" t="e">
        <f>W63/W59</f>
        <v>#DIV/0!</v>
      </c>
      <c r="Y63" s="249"/>
      <c r="Z63" s="249"/>
      <c r="AA63" s="249"/>
      <c r="AB63" s="249"/>
      <c r="AC63" s="249"/>
      <c r="AD63" s="297">
        <f t="shared" si="99"/>
        <v>0</v>
      </c>
      <c r="AE63" s="303" t="e">
        <f>AD63/AD59</f>
        <v>#DIV/0!</v>
      </c>
      <c r="AF63" s="249"/>
      <c r="AG63" s="249"/>
      <c r="AH63" s="249"/>
      <c r="AI63" s="249"/>
      <c r="AJ63" s="249"/>
      <c r="AK63" s="297">
        <f t="shared" si="100"/>
        <v>0</v>
      </c>
      <c r="AL63" s="303" t="e">
        <f>AK63/AK59</f>
        <v>#DIV/0!</v>
      </c>
      <c r="AM63" s="249"/>
      <c r="AN63" s="249"/>
      <c r="AO63" s="249"/>
      <c r="AP63" s="249"/>
      <c r="AQ63" s="249"/>
      <c r="AR63" s="297">
        <f t="shared" si="101"/>
        <v>0</v>
      </c>
      <c r="AS63" s="303" t="e">
        <f>AR63/AR59</f>
        <v>#DIV/0!</v>
      </c>
      <c r="AT63" s="249"/>
      <c r="AU63" s="249"/>
      <c r="AV63" s="249"/>
      <c r="AW63" s="249"/>
      <c r="AX63" s="249"/>
      <c r="AY63" s="297">
        <f t="shared" si="102"/>
        <v>0</v>
      </c>
      <c r="AZ63" s="303" t="e">
        <f>AY63/AY59</f>
        <v>#DIV/0!</v>
      </c>
      <c r="BA63" s="249"/>
      <c r="BB63" s="249"/>
      <c r="BC63" s="249"/>
      <c r="BD63" s="249"/>
      <c r="BE63" s="249"/>
      <c r="BF63" s="297">
        <f t="shared" si="103"/>
        <v>0</v>
      </c>
      <c r="BG63" s="303" t="e">
        <f>BF63/BF59</f>
        <v>#DIV/0!</v>
      </c>
      <c r="BH63" s="249"/>
      <c r="BI63" s="249"/>
      <c r="BJ63" s="249"/>
      <c r="BK63" s="249"/>
      <c r="BL63" s="249"/>
      <c r="BM63" s="297">
        <f t="shared" si="104"/>
        <v>0</v>
      </c>
      <c r="BN63" s="303" t="e">
        <f>BM63/BM59</f>
        <v>#DIV/0!</v>
      </c>
      <c r="BO63" s="249"/>
      <c r="BP63" s="249"/>
      <c r="BQ63" s="249"/>
      <c r="BR63" s="249"/>
      <c r="BS63" s="249"/>
      <c r="BT63" s="297">
        <f t="shared" si="105"/>
        <v>0</v>
      </c>
      <c r="BU63" s="303" t="e">
        <f>BT63/BT59</f>
        <v>#DIV/0!</v>
      </c>
      <c r="BV63" s="249"/>
      <c r="BW63" s="249"/>
      <c r="BX63" s="249"/>
      <c r="BY63" s="249"/>
      <c r="BZ63" s="249"/>
      <c r="CA63" s="297">
        <f t="shared" si="106"/>
        <v>0</v>
      </c>
      <c r="CB63" s="303" t="e">
        <f>CA63/CA59</f>
        <v>#DIV/0!</v>
      </c>
      <c r="CC63" s="249"/>
      <c r="CD63" s="249"/>
      <c r="CE63" s="249"/>
      <c r="CF63" s="249"/>
      <c r="CG63" s="249"/>
      <c r="CH63" s="297">
        <f t="shared" si="107"/>
        <v>0</v>
      </c>
      <c r="CI63" s="303" t="e">
        <f>CH63/CH59</f>
        <v>#DIV/0!</v>
      </c>
      <c r="CJ63" s="249"/>
      <c r="CK63" s="249"/>
      <c r="CL63" s="249"/>
      <c r="CM63" s="249"/>
      <c r="CN63" s="249"/>
      <c r="CO63" s="297">
        <f t="shared" si="108"/>
        <v>0</v>
      </c>
      <c r="CP63" s="303" t="e">
        <f>CO63/CO59</f>
        <v>#DIV/0!</v>
      </c>
      <c r="CQ63" s="249"/>
      <c r="CR63" s="249"/>
      <c r="CS63" s="249"/>
      <c r="CT63" s="249"/>
      <c r="CU63" s="249"/>
      <c r="CV63" s="297">
        <f t="shared" si="109"/>
        <v>0</v>
      </c>
      <c r="CW63" s="303" t="e">
        <f>CV63/CV59</f>
        <v>#DIV/0!</v>
      </c>
      <c r="CX63" s="249"/>
      <c r="CY63" s="249"/>
      <c r="CZ63" s="249"/>
      <c r="DA63" s="249"/>
      <c r="DB63" s="249"/>
      <c r="DC63" s="297">
        <f t="shared" si="110"/>
        <v>0</v>
      </c>
      <c r="DD63" s="303" t="e">
        <f>DC63/DC59</f>
        <v>#DIV/0!</v>
      </c>
      <c r="DE63" s="249"/>
      <c r="DF63" s="249"/>
      <c r="DG63" s="249"/>
      <c r="DH63" s="249"/>
      <c r="DI63" s="249"/>
      <c r="DJ63" s="297">
        <f t="shared" si="111"/>
        <v>0</v>
      </c>
      <c r="DK63" s="303" t="e">
        <f>DJ63/DJ59</f>
        <v>#DIV/0!</v>
      </c>
      <c r="DL63" s="249"/>
      <c r="DM63" s="249"/>
      <c r="DN63" s="249"/>
      <c r="DO63" s="249"/>
      <c r="DP63" s="249"/>
      <c r="DQ63" s="297">
        <f t="shared" si="112"/>
        <v>0</v>
      </c>
      <c r="DR63" s="303" t="e">
        <f>DQ63/DQ59</f>
        <v>#DIV/0!</v>
      </c>
      <c r="DS63" s="249"/>
      <c r="DT63" s="249"/>
      <c r="DU63" s="249"/>
      <c r="DV63" s="249"/>
      <c r="DW63" s="249"/>
      <c r="DX63" s="297">
        <f t="shared" si="113"/>
        <v>0</v>
      </c>
      <c r="DY63" s="303" t="e">
        <f>DX63/DX59</f>
        <v>#DIV/0!</v>
      </c>
      <c r="DZ63" s="249"/>
      <c r="EA63" s="249"/>
      <c r="EB63" s="249"/>
      <c r="EC63" s="249"/>
      <c r="ED63" s="249"/>
      <c r="EE63" s="297">
        <f t="shared" si="114"/>
        <v>0</v>
      </c>
      <c r="EF63" s="303" t="e">
        <f>EE63/EE59</f>
        <v>#DIV/0!</v>
      </c>
      <c r="EG63" s="249"/>
      <c r="EH63" s="249"/>
      <c r="EI63" s="249"/>
      <c r="EJ63" s="249"/>
      <c r="EK63" s="249"/>
      <c r="EL63" s="297">
        <f t="shared" si="115"/>
        <v>0</v>
      </c>
      <c r="EM63" s="303" t="e">
        <f>EL63/EL59</f>
        <v>#DIV/0!</v>
      </c>
      <c r="EN63" s="249"/>
      <c r="EO63" s="249"/>
      <c r="EP63" s="249"/>
      <c r="EQ63" s="249"/>
      <c r="ER63" s="249"/>
      <c r="ES63" s="297">
        <f t="shared" si="116"/>
        <v>0</v>
      </c>
      <c r="ET63" s="303" t="e">
        <f>ES63/ES59</f>
        <v>#DIV/0!</v>
      </c>
      <c r="EU63" s="249"/>
      <c r="EV63" s="249"/>
      <c r="EW63" s="249"/>
      <c r="EX63" s="249"/>
      <c r="EY63" s="249"/>
      <c r="EZ63" s="297">
        <f t="shared" si="117"/>
        <v>0</v>
      </c>
      <c r="FA63" s="303" t="e">
        <f>EZ63/EZ59</f>
        <v>#DIV/0!</v>
      </c>
      <c r="FB63" s="249"/>
      <c r="FC63" s="249"/>
      <c r="FD63" s="249"/>
      <c r="FE63" s="249"/>
      <c r="FF63" s="249"/>
      <c r="FG63" s="297">
        <f t="shared" si="118"/>
        <v>0</v>
      </c>
      <c r="FH63" s="303" t="e">
        <f>FG63/FG59</f>
        <v>#DIV/0!</v>
      </c>
      <c r="FI63" s="249"/>
      <c r="FJ63" s="249"/>
      <c r="FK63" s="249"/>
      <c r="FL63" s="249"/>
      <c r="FM63" s="249"/>
      <c r="FN63" s="297">
        <f t="shared" si="119"/>
        <v>0</v>
      </c>
      <c r="FO63" s="303" t="e">
        <f>FN63/FN59</f>
        <v>#DIV/0!</v>
      </c>
      <c r="FP63" s="249"/>
      <c r="FQ63" s="249"/>
      <c r="FR63" s="249"/>
      <c r="FS63" s="249"/>
      <c r="FT63" s="249"/>
      <c r="FU63" s="297">
        <f t="shared" si="120"/>
        <v>0</v>
      </c>
      <c r="FV63" s="303" t="e">
        <f>FU63/FU59</f>
        <v>#DIV/0!</v>
      </c>
      <c r="FW63" s="249"/>
      <c r="FX63" s="249"/>
      <c r="FY63" s="249"/>
      <c r="FZ63" s="249"/>
      <c r="GA63" s="249"/>
      <c r="GB63" s="297">
        <f t="shared" si="121"/>
        <v>0</v>
      </c>
      <c r="GC63" s="303" t="e">
        <f>GB63/GB59</f>
        <v>#DIV/0!</v>
      </c>
      <c r="GD63" s="249"/>
      <c r="GE63" s="249"/>
      <c r="GF63" s="249"/>
      <c r="GG63" s="249"/>
      <c r="GH63" s="249"/>
    </row>
    <row r="64" spans="1:190" ht="12.75">
      <c r="A64" s="304" t="s">
        <v>2</v>
      </c>
      <c r="B64" s="297">
        <f t="shared" si="95"/>
        <v>0</v>
      </c>
      <c r="C64" s="303">
        <f>B64/B59</f>
        <v>0</v>
      </c>
      <c r="D64" s="249"/>
      <c r="E64" s="249"/>
      <c r="F64" s="249"/>
      <c r="G64" s="249"/>
      <c r="H64" s="249"/>
      <c r="I64" s="297">
        <f t="shared" si="96"/>
        <v>0</v>
      </c>
      <c r="J64" s="303" t="e">
        <f>I64/I59</f>
        <v>#DIV/0!</v>
      </c>
      <c r="K64" s="249"/>
      <c r="L64" s="249"/>
      <c r="M64" s="249"/>
      <c r="N64" s="249"/>
      <c r="O64" s="249"/>
      <c r="P64" s="297">
        <f t="shared" si="97"/>
        <v>0</v>
      </c>
      <c r="Q64" s="303" t="e">
        <f>P64/P59</f>
        <v>#DIV/0!</v>
      </c>
      <c r="R64" s="249"/>
      <c r="S64" s="249"/>
      <c r="T64" s="249"/>
      <c r="U64" s="249"/>
      <c r="V64" s="249"/>
      <c r="W64" s="297">
        <f t="shared" si="98"/>
        <v>0</v>
      </c>
      <c r="X64" s="303" t="e">
        <f>W64/W59</f>
        <v>#DIV/0!</v>
      </c>
      <c r="Y64" s="249"/>
      <c r="Z64" s="249"/>
      <c r="AA64" s="249"/>
      <c r="AB64" s="249"/>
      <c r="AC64" s="249"/>
      <c r="AD64" s="297">
        <f t="shared" si="99"/>
        <v>0</v>
      </c>
      <c r="AE64" s="303" t="e">
        <f>AD64/AD59</f>
        <v>#DIV/0!</v>
      </c>
      <c r="AF64" s="249"/>
      <c r="AG64" s="249"/>
      <c r="AH64" s="249"/>
      <c r="AI64" s="249"/>
      <c r="AJ64" s="249"/>
      <c r="AK64" s="297">
        <f t="shared" si="100"/>
        <v>0</v>
      </c>
      <c r="AL64" s="303" t="e">
        <f>AK64/AK59</f>
        <v>#DIV/0!</v>
      </c>
      <c r="AM64" s="249"/>
      <c r="AN64" s="249"/>
      <c r="AO64" s="249"/>
      <c r="AP64" s="249"/>
      <c r="AQ64" s="249"/>
      <c r="AR64" s="297">
        <f t="shared" si="101"/>
        <v>0</v>
      </c>
      <c r="AS64" s="303" t="e">
        <f>AR64/AR59</f>
        <v>#DIV/0!</v>
      </c>
      <c r="AT64" s="249"/>
      <c r="AU64" s="249"/>
      <c r="AV64" s="249"/>
      <c r="AW64" s="249"/>
      <c r="AX64" s="249"/>
      <c r="AY64" s="297">
        <f t="shared" si="102"/>
        <v>0</v>
      </c>
      <c r="AZ64" s="303" t="e">
        <f>AY64/AY59</f>
        <v>#DIV/0!</v>
      </c>
      <c r="BA64" s="249"/>
      <c r="BB64" s="249"/>
      <c r="BC64" s="249"/>
      <c r="BD64" s="249"/>
      <c r="BE64" s="249"/>
      <c r="BF64" s="297">
        <f t="shared" si="103"/>
        <v>0</v>
      </c>
      <c r="BG64" s="303" t="e">
        <f>BF64/BF59</f>
        <v>#DIV/0!</v>
      </c>
      <c r="BH64" s="249"/>
      <c r="BI64" s="249"/>
      <c r="BJ64" s="249"/>
      <c r="BK64" s="249"/>
      <c r="BL64" s="249"/>
      <c r="BM64" s="297">
        <f t="shared" si="104"/>
        <v>0</v>
      </c>
      <c r="BN64" s="303" t="e">
        <f>BM64/BM59</f>
        <v>#DIV/0!</v>
      </c>
      <c r="BO64" s="249"/>
      <c r="BP64" s="249"/>
      <c r="BQ64" s="249"/>
      <c r="BR64" s="249"/>
      <c r="BS64" s="249"/>
      <c r="BT64" s="297">
        <f t="shared" si="105"/>
        <v>0</v>
      </c>
      <c r="BU64" s="303" t="e">
        <f>BT64/BT59</f>
        <v>#DIV/0!</v>
      </c>
      <c r="BV64" s="249"/>
      <c r="BW64" s="249"/>
      <c r="BX64" s="249"/>
      <c r="BY64" s="249"/>
      <c r="BZ64" s="249"/>
      <c r="CA64" s="297">
        <f t="shared" si="106"/>
        <v>0</v>
      </c>
      <c r="CB64" s="303" t="e">
        <f>CA64/CA59</f>
        <v>#DIV/0!</v>
      </c>
      <c r="CC64" s="249"/>
      <c r="CD64" s="249"/>
      <c r="CE64" s="249"/>
      <c r="CF64" s="249"/>
      <c r="CG64" s="249"/>
      <c r="CH64" s="297">
        <f t="shared" si="107"/>
        <v>0</v>
      </c>
      <c r="CI64" s="303" t="e">
        <f>CH64/CH59</f>
        <v>#DIV/0!</v>
      </c>
      <c r="CJ64" s="249"/>
      <c r="CK64" s="249"/>
      <c r="CL64" s="249"/>
      <c r="CM64" s="249"/>
      <c r="CN64" s="249"/>
      <c r="CO64" s="297">
        <f t="shared" si="108"/>
        <v>0</v>
      </c>
      <c r="CP64" s="303" t="e">
        <f>CO64/CO59</f>
        <v>#DIV/0!</v>
      </c>
      <c r="CQ64" s="249"/>
      <c r="CR64" s="249"/>
      <c r="CS64" s="249"/>
      <c r="CT64" s="249"/>
      <c r="CU64" s="249"/>
      <c r="CV64" s="297">
        <f t="shared" si="109"/>
        <v>0</v>
      </c>
      <c r="CW64" s="303" t="e">
        <f>CV64/CV59</f>
        <v>#DIV/0!</v>
      </c>
      <c r="CX64" s="249"/>
      <c r="CY64" s="249"/>
      <c r="CZ64" s="249"/>
      <c r="DA64" s="249"/>
      <c r="DB64" s="249"/>
      <c r="DC64" s="297">
        <f t="shared" si="110"/>
        <v>0</v>
      </c>
      <c r="DD64" s="303" t="e">
        <f>DC64/DC59</f>
        <v>#DIV/0!</v>
      </c>
      <c r="DE64" s="249"/>
      <c r="DF64" s="249"/>
      <c r="DG64" s="249"/>
      <c r="DH64" s="249"/>
      <c r="DI64" s="249"/>
      <c r="DJ64" s="297">
        <f t="shared" si="111"/>
        <v>0</v>
      </c>
      <c r="DK64" s="303" t="e">
        <f>DJ64/DJ59</f>
        <v>#DIV/0!</v>
      </c>
      <c r="DL64" s="249"/>
      <c r="DM64" s="249"/>
      <c r="DN64" s="249"/>
      <c r="DO64" s="249"/>
      <c r="DP64" s="249"/>
      <c r="DQ64" s="297">
        <f t="shared" si="112"/>
        <v>0</v>
      </c>
      <c r="DR64" s="303" t="e">
        <f>DQ64/DQ59</f>
        <v>#DIV/0!</v>
      </c>
      <c r="DS64" s="249"/>
      <c r="DT64" s="249"/>
      <c r="DU64" s="249"/>
      <c r="DV64" s="249"/>
      <c r="DW64" s="249"/>
      <c r="DX64" s="297">
        <f t="shared" si="113"/>
        <v>0</v>
      </c>
      <c r="DY64" s="303" t="e">
        <f>DX64/DX59</f>
        <v>#DIV/0!</v>
      </c>
      <c r="DZ64" s="249"/>
      <c r="EA64" s="249"/>
      <c r="EB64" s="249"/>
      <c r="EC64" s="249"/>
      <c r="ED64" s="249"/>
      <c r="EE64" s="297">
        <f t="shared" si="114"/>
        <v>0</v>
      </c>
      <c r="EF64" s="303" t="e">
        <f>EE64/EE59</f>
        <v>#DIV/0!</v>
      </c>
      <c r="EG64" s="249"/>
      <c r="EH64" s="249"/>
      <c r="EI64" s="249"/>
      <c r="EJ64" s="249"/>
      <c r="EK64" s="249"/>
      <c r="EL64" s="297">
        <f t="shared" si="115"/>
        <v>0</v>
      </c>
      <c r="EM64" s="303" t="e">
        <f>EL64/EL59</f>
        <v>#DIV/0!</v>
      </c>
      <c r="EN64" s="249"/>
      <c r="EO64" s="249"/>
      <c r="EP64" s="249"/>
      <c r="EQ64" s="249"/>
      <c r="ER64" s="249"/>
      <c r="ES64" s="297">
        <f t="shared" si="116"/>
        <v>0</v>
      </c>
      <c r="ET64" s="303" t="e">
        <f>ES64/ES59</f>
        <v>#DIV/0!</v>
      </c>
      <c r="EU64" s="249"/>
      <c r="EV64" s="249"/>
      <c r="EW64" s="249"/>
      <c r="EX64" s="249"/>
      <c r="EY64" s="249"/>
      <c r="EZ64" s="297">
        <f t="shared" si="117"/>
        <v>0</v>
      </c>
      <c r="FA64" s="303" t="e">
        <f>EZ64/EZ59</f>
        <v>#DIV/0!</v>
      </c>
      <c r="FB64" s="249"/>
      <c r="FC64" s="249"/>
      <c r="FD64" s="249"/>
      <c r="FE64" s="249"/>
      <c r="FF64" s="249"/>
      <c r="FG64" s="297">
        <f t="shared" si="118"/>
        <v>0</v>
      </c>
      <c r="FH64" s="303" t="e">
        <f>FG64/FG59</f>
        <v>#DIV/0!</v>
      </c>
      <c r="FI64" s="249"/>
      <c r="FJ64" s="249"/>
      <c r="FK64" s="249"/>
      <c r="FL64" s="249"/>
      <c r="FM64" s="249"/>
      <c r="FN64" s="297">
        <f t="shared" si="119"/>
        <v>0</v>
      </c>
      <c r="FO64" s="303" t="e">
        <f>FN64/FN59</f>
        <v>#DIV/0!</v>
      </c>
      <c r="FP64" s="249"/>
      <c r="FQ64" s="249"/>
      <c r="FR64" s="249"/>
      <c r="FS64" s="249"/>
      <c r="FT64" s="249"/>
      <c r="FU64" s="297">
        <f t="shared" si="120"/>
        <v>0</v>
      </c>
      <c r="FV64" s="303" t="e">
        <f>FU64/FU59</f>
        <v>#DIV/0!</v>
      </c>
      <c r="FW64" s="249"/>
      <c r="FX64" s="249"/>
      <c r="FY64" s="249"/>
      <c r="FZ64" s="249"/>
      <c r="GA64" s="249"/>
      <c r="GB64" s="297">
        <f t="shared" si="121"/>
        <v>0</v>
      </c>
      <c r="GC64" s="303" t="e">
        <f>GB64/GB59</f>
        <v>#DIV/0!</v>
      </c>
      <c r="GD64" s="249"/>
      <c r="GE64" s="249"/>
      <c r="GF64" s="249"/>
      <c r="GG64" s="249"/>
      <c r="GH64" s="249"/>
    </row>
    <row r="65" spans="1:190" ht="12.75">
      <c r="A65" s="304" t="s">
        <v>104</v>
      </c>
      <c r="B65" s="297">
        <f t="shared" si="95"/>
        <v>0</v>
      </c>
      <c r="C65" s="303">
        <f>B65/B59</f>
        <v>0</v>
      </c>
      <c r="D65" s="249"/>
      <c r="E65" s="249"/>
      <c r="F65" s="249"/>
      <c r="G65" s="249"/>
      <c r="H65" s="249"/>
      <c r="I65" s="297">
        <f t="shared" si="96"/>
        <v>0</v>
      </c>
      <c r="J65" s="303" t="e">
        <f>I65/I59</f>
        <v>#DIV/0!</v>
      </c>
      <c r="K65" s="249"/>
      <c r="L65" s="249"/>
      <c r="M65" s="249"/>
      <c r="N65" s="249"/>
      <c r="O65" s="249"/>
      <c r="P65" s="297">
        <f t="shared" si="97"/>
        <v>0</v>
      </c>
      <c r="Q65" s="303" t="e">
        <f>P65/P59</f>
        <v>#DIV/0!</v>
      </c>
      <c r="R65" s="249"/>
      <c r="S65" s="249"/>
      <c r="T65" s="249"/>
      <c r="U65" s="249"/>
      <c r="V65" s="249"/>
      <c r="W65" s="297">
        <f t="shared" si="98"/>
        <v>0</v>
      </c>
      <c r="X65" s="303" t="e">
        <f>W65/W59</f>
        <v>#DIV/0!</v>
      </c>
      <c r="Y65" s="249"/>
      <c r="Z65" s="249"/>
      <c r="AA65" s="249"/>
      <c r="AB65" s="249"/>
      <c r="AC65" s="249"/>
      <c r="AD65" s="297">
        <f t="shared" si="99"/>
        <v>0</v>
      </c>
      <c r="AE65" s="303" t="e">
        <f>AD65/AD59</f>
        <v>#DIV/0!</v>
      </c>
      <c r="AF65" s="249"/>
      <c r="AG65" s="249"/>
      <c r="AH65" s="249"/>
      <c r="AI65" s="249"/>
      <c r="AJ65" s="249"/>
      <c r="AK65" s="297">
        <f t="shared" si="100"/>
        <v>0</v>
      </c>
      <c r="AL65" s="303" t="e">
        <f>AK65/AK59</f>
        <v>#DIV/0!</v>
      </c>
      <c r="AM65" s="249"/>
      <c r="AN65" s="249"/>
      <c r="AO65" s="249"/>
      <c r="AP65" s="249"/>
      <c r="AQ65" s="249"/>
      <c r="AR65" s="297">
        <f t="shared" si="101"/>
        <v>0</v>
      </c>
      <c r="AS65" s="303" t="e">
        <f>AR65/AR59</f>
        <v>#DIV/0!</v>
      </c>
      <c r="AT65" s="249"/>
      <c r="AU65" s="249"/>
      <c r="AV65" s="249"/>
      <c r="AW65" s="249"/>
      <c r="AX65" s="249"/>
      <c r="AY65" s="297">
        <f t="shared" si="102"/>
        <v>0</v>
      </c>
      <c r="AZ65" s="303" t="e">
        <f>AY65/AY59</f>
        <v>#DIV/0!</v>
      </c>
      <c r="BA65" s="249"/>
      <c r="BB65" s="249"/>
      <c r="BC65" s="249"/>
      <c r="BD65" s="249"/>
      <c r="BE65" s="249"/>
      <c r="BF65" s="297">
        <f t="shared" si="103"/>
        <v>0</v>
      </c>
      <c r="BG65" s="303" t="e">
        <f>BF65/BF59</f>
        <v>#DIV/0!</v>
      </c>
      <c r="BH65" s="249"/>
      <c r="BI65" s="249"/>
      <c r="BJ65" s="249"/>
      <c r="BK65" s="249"/>
      <c r="BL65" s="249"/>
      <c r="BM65" s="297">
        <f t="shared" si="104"/>
        <v>0</v>
      </c>
      <c r="BN65" s="303" t="e">
        <f>BM65/BM59</f>
        <v>#DIV/0!</v>
      </c>
      <c r="BO65" s="249"/>
      <c r="BP65" s="249"/>
      <c r="BQ65" s="249"/>
      <c r="BR65" s="249"/>
      <c r="BS65" s="249"/>
      <c r="BT65" s="297">
        <f t="shared" si="105"/>
        <v>0</v>
      </c>
      <c r="BU65" s="303" t="e">
        <f>BT65/BT59</f>
        <v>#DIV/0!</v>
      </c>
      <c r="BV65" s="249"/>
      <c r="BW65" s="249"/>
      <c r="BX65" s="249"/>
      <c r="BY65" s="249"/>
      <c r="BZ65" s="249"/>
      <c r="CA65" s="297">
        <f t="shared" si="106"/>
        <v>0</v>
      </c>
      <c r="CB65" s="303" t="e">
        <f>CA65/CA59</f>
        <v>#DIV/0!</v>
      </c>
      <c r="CC65" s="249"/>
      <c r="CD65" s="249"/>
      <c r="CE65" s="249"/>
      <c r="CF65" s="249"/>
      <c r="CG65" s="249"/>
      <c r="CH65" s="297">
        <f t="shared" si="107"/>
        <v>0</v>
      </c>
      <c r="CI65" s="303" t="e">
        <f>CH65/CH59</f>
        <v>#DIV/0!</v>
      </c>
      <c r="CJ65" s="249"/>
      <c r="CK65" s="249"/>
      <c r="CL65" s="249"/>
      <c r="CM65" s="249"/>
      <c r="CN65" s="249"/>
      <c r="CO65" s="297">
        <f t="shared" si="108"/>
        <v>0</v>
      </c>
      <c r="CP65" s="303" t="e">
        <f>CO65/CO59</f>
        <v>#DIV/0!</v>
      </c>
      <c r="CQ65" s="249"/>
      <c r="CR65" s="249"/>
      <c r="CS65" s="249"/>
      <c r="CT65" s="249"/>
      <c r="CU65" s="249"/>
      <c r="CV65" s="297">
        <f t="shared" si="109"/>
        <v>0</v>
      </c>
      <c r="CW65" s="303" t="e">
        <f>CV65/CV59</f>
        <v>#DIV/0!</v>
      </c>
      <c r="CX65" s="249"/>
      <c r="CY65" s="249"/>
      <c r="CZ65" s="249"/>
      <c r="DA65" s="249"/>
      <c r="DB65" s="249"/>
      <c r="DC65" s="297">
        <f t="shared" si="110"/>
        <v>0</v>
      </c>
      <c r="DD65" s="303" t="e">
        <f>DC65/DC59</f>
        <v>#DIV/0!</v>
      </c>
      <c r="DE65" s="249"/>
      <c r="DF65" s="249"/>
      <c r="DG65" s="249"/>
      <c r="DH65" s="249"/>
      <c r="DI65" s="249"/>
      <c r="DJ65" s="297">
        <f t="shared" si="111"/>
        <v>0</v>
      </c>
      <c r="DK65" s="303" t="e">
        <f>DJ65/DJ59</f>
        <v>#DIV/0!</v>
      </c>
      <c r="DL65" s="249"/>
      <c r="DM65" s="249"/>
      <c r="DN65" s="249"/>
      <c r="DO65" s="249"/>
      <c r="DP65" s="249"/>
      <c r="DQ65" s="297">
        <f t="shared" si="112"/>
        <v>0</v>
      </c>
      <c r="DR65" s="303" t="e">
        <f>DQ65/DQ59</f>
        <v>#DIV/0!</v>
      </c>
      <c r="DS65" s="249"/>
      <c r="DT65" s="249"/>
      <c r="DU65" s="249"/>
      <c r="DV65" s="249"/>
      <c r="DW65" s="249"/>
      <c r="DX65" s="297">
        <f t="shared" si="113"/>
        <v>0</v>
      </c>
      <c r="DY65" s="303" t="e">
        <f>DX65/DX59</f>
        <v>#DIV/0!</v>
      </c>
      <c r="DZ65" s="249"/>
      <c r="EA65" s="249"/>
      <c r="EB65" s="249"/>
      <c r="EC65" s="249"/>
      <c r="ED65" s="249"/>
      <c r="EE65" s="297">
        <f t="shared" si="114"/>
        <v>0</v>
      </c>
      <c r="EF65" s="303" t="e">
        <f>EE65/EE59</f>
        <v>#DIV/0!</v>
      </c>
      <c r="EG65" s="249"/>
      <c r="EH65" s="249"/>
      <c r="EI65" s="249"/>
      <c r="EJ65" s="249"/>
      <c r="EK65" s="249"/>
      <c r="EL65" s="297">
        <f t="shared" si="115"/>
        <v>0</v>
      </c>
      <c r="EM65" s="303" t="e">
        <f>EL65/EL59</f>
        <v>#DIV/0!</v>
      </c>
      <c r="EN65" s="249"/>
      <c r="EO65" s="249"/>
      <c r="EP65" s="249"/>
      <c r="EQ65" s="249"/>
      <c r="ER65" s="249"/>
      <c r="ES65" s="297">
        <f t="shared" si="116"/>
        <v>0</v>
      </c>
      <c r="ET65" s="303" t="e">
        <f>ES65/ES59</f>
        <v>#DIV/0!</v>
      </c>
      <c r="EU65" s="249"/>
      <c r="EV65" s="249"/>
      <c r="EW65" s="249"/>
      <c r="EX65" s="249"/>
      <c r="EY65" s="249"/>
      <c r="EZ65" s="297">
        <f t="shared" si="117"/>
        <v>0</v>
      </c>
      <c r="FA65" s="303" t="e">
        <f>EZ65/EZ59</f>
        <v>#DIV/0!</v>
      </c>
      <c r="FB65" s="249"/>
      <c r="FC65" s="249"/>
      <c r="FD65" s="249"/>
      <c r="FE65" s="249"/>
      <c r="FF65" s="249"/>
      <c r="FG65" s="297">
        <f t="shared" si="118"/>
        <v>0</v>
      </c>
      <c r="FH65" s="303" t="e">
        <f>FG65/FG59</f>
        <v>#DIV/0!</v>
      </c>
      <c r="FI65" s="249"/>
      <c r="FJ65" s="249"/>
      <c r="FK65" s="249"/>
      <c r="FL65" s="249"/>
      <c r="FM65" s="249"/>
      <c r="FN65" s="297">
        <f t="shared" si="119"/>
        <v>0</v>
      </c>
      <c r="FO65" s="303" t="e">
        <f>FN65/FN59</f>
        <v>#DIV/0!</v>
      </c>
      <c r="FP65" s="249"/>
      <c r="FQ65" s="249"/>
      <c r="FR65" s="249"/>
      <c r="FS65" s="249"/>
      <c r="FT65" s="249"/>
      <c r="FU65" s="297">
        <f t="shared" si="120"/>
        <v>0</v>
      </c>
      <c r="FV65" s="303" t="e">
        <f>FU65/FU59</f>
        <v>#DIV/0!</v>
      </c>
      <c r="FW65" s="249"/>
      <c r="FX65" s="249"/>
      <c r="FY65" s="249"/>
      <c r="FZ65" s="249"/>
      <c r="GA65" s="249"/>
      <c r="GB65" s="297">
        <f t="shared" si="121"/>
        <v>0</v>
      </c>
      <c r="GC65" s="303" t="e">
        <f>GB65/GB59</f>
        <v>#DIV/0!</v>
      </c>
      <c r="GD65" s="249"/>
      <c r="GE65" s="249"/>
      <c r="GF65" s="249"/>
      <c r="GG65" s="249"/>
      <c r="GH65" s="249"/>
    </row>
    <row r="66" spans="1:190" ht="12.75">
      <c r="A66" s="308" t="s">
        <v>284</v>
      </c>
      <c r="B66" s="297"/>
      <c r="C66" s="309"/>
      <c r="D66" s="249"/>
      <c r="E66" s="249"/>
      <c r="F66" s="249"/>
      <c r="G66" s="249"/>
      <c r="H66" s="249"/>
      <c r="I66" s="297"/>
      <c r="J66" s="309"/>
      <c r="K66" s="249"/>
      <c r="L66" s="249"/>
      <c r="M66" s="249"/>
      <c r="N66" s="249"/>
      <c r="O66" s="249"/>
      <c r="P66" s="297"/>
      <c r="Q66" s="309"/>
      <c r="R66" s="249"/>
      <c r="S66" s="249"/>
      <c r="T66" s="249"/>
      <c r="U66" s="249"/>
      <c r="V66" s="249"/>
      <c r="W66" s="297"/>
      <c r="X66" s="309"/>
      <c r="Y66" s="249"/>
      <c r="Z66" s="249"/>
      <c r="AA66" s="249"/>
      <c r="AB66" s="249"/>
      <c r="AC66" s="249"/>
      <c r="AD66" s="297"/>
      <c r="AE66" s="309"/>
      <c r="AF66" s="249"/>
      <c r="AG66" s="249"/>
      <c r="AH66" s="249"/>
      <c r="AI66" s="249"/>
      <c r="AJ66" s="249"/>
      <c r="AK66" s="297"/>
      <c r="AL66" s="309"/>
      <c r="AM66" s="249"/>
      <c r="AN66" s="249"/>
      <c r="AO66" s="249"/>
      <c r="AP66" s="249"/>
      <c r="AQ66" s="249"/>
      <c r="AR66" s="297"/>
      <c r="AS66" s="309"/>
      <c r="AT66" s="249"/>
      <c r="AU66" s="249"/>
      <c r="AV66" s="249"/>
      <c r="AW66" s="249"/>
      <c r="AX66" s="249"/>
      <c r="AY66" s="297"/>
      <c r="AZ66" s="309"/>
      <c r="BA66" s="249"/>
      <c r="BB66" s="249"/>
      <c r="BC66" s="249"/>
      <c r="BD66" s="249"/>
      <c r="BE66" s="249"/>
      <c r="BF66" s="297"/>
      <c r="BG66" s="309"/>
      <c r="BH66" s="249"/>
      <c r="BI66" s="249"/>
      <c r="BJ66" s="249"/>
      <c r="BK66" s="249"/>
      <c r="BL66" s="249"/>
      <c r="BM66" s="297"/>
      <c r="BN66" s="309"/>
      <c r="BO66" s="249"/>
      <c r="BP66" s="249"/>
      <c r="BQ66" s="249"/>
      <c r="BR66" s="249"/>
      <c r="BS66" s="249"/>
      <c r="BT66" s="297"/>
      <c r="BU66" s="309"/>
      <c r="BV66" s="249"/>
      <c r="BW66" s="249"/>
      <c r="BX66" s="249"/>
      <c r="BY66" s="249"/>
      <c r="BZ66" s="249"/>
      <c r="CA66" s="297"/>
      <c r="CB66" s="309"/>
      <c r="CC66" s="249"/>
      <c r="CD66" s="249"/>
      <c r="CE66" s="249"/>
      <c r="CF66" s="249"/>
      <c r="CG66" s="249"/>
      <c r="CH66" s="297"/>
      <c r="CI66" s="309"/>
      <c r="CJ66" s="249"/>
      <c r="CK66" s="249"/>
      <c r="CL66" s="249"/>
      <c r="CM66" s="249"/>
      <c r="CN66" s="249"/>
      <c r="CO66" s="297"/>
      <c r="CP66" s="309"/>
      <c r="CQ66" s="249"/>
      <c r="CR66" s="249"/>
      <c r="CS66" s="249"/>
      <c r="CT66" s="249"/>
      <c r="CU66" s="249"/>
      <c r="CV66" s="297"/>
      <c r="CW66" s="309"/>
      <c r="CX66" s="249"/>
      <c r="CY66" s="249"/>
      <c r="CZ66" s="249"/>
      <c r="DA66" s="249"/>
      <c r="DB66" s="249"/>
      <c r="DC66" s="297"/>
      <c r="DD66" s="309"/>
      <c r="DE66" s="249"/>
      <c r="DF66" s="249"/>
      <c r="DG66" s="249"/>
      <c r="DH66" s="249"/>
      <c r="DI66" s="249"/>
      <c r="DJ66" s="297"/>
      <c r="DK66" s="309"/>
      <c r="DL66" s="249"/>
      <c r="DM66" s="249"/>
      <c r="DN66" s="249"/>
      <c r="DO66" s="249"/>
      <c r="DP66" s="249"/>
      <c r="DQ66" s="297"/>
      <c r="DR66" s="309"/>
      <c r="DS66" s="249"/>
      <c r="DT66" s="249"/>
      <c r="DU66" s="249"/>
      <c r="DV66" s="249"/>
      <c r="DW66" s="249"/>
      <c r="DX66" s="297"/>
      <c r="DY66" s="309"/>
      <c r="DZ66" s="249"/>
      <c r="EA66" s="249"/>
      <c r="EB66" s="249"/>
      <c r="EC66" s="249"/>
      <c r="ED66" s="249"/>
      <c r="EE66" s="297"/>
      <c r="EF66" s="309"/>
      <c r="EG66" s="249"/>
      <c r="EH66" s="249"/>
      <c r="EI66" s="249"/>
      <c r="EJ66" s="249"/>
      <c r="EK66" s="249"/>
      <c r="EL66" s="297"/>
      <c r="EM66" s="309"/>
      <c r="EN66" s="249"/>
      <c r="EO66" s="249"/>
      <c r="EP66" s="249"/>
      <c r="EQ66" s="249"/>
      <c r="ER66" s="249"/>
      <c r="ES66" s="297"/>
      <c r="ET66" s="309"/>
      <c r="EU66" s="249"/>
      <c r="EV66" s="249"/>
      <c r="EW66" s="249"/>
      <c r="EX66" s="249"/>
      <c r="EY66" s="249"/>
      <c r="EZ66" s="297"/>
      <c r="FA66" s="309"/>
      <c r="FB66" s="249"/>
      <c r="FC66" s="249"/>
      <c r="FD66" s="249"/>
      <c r="FE66" s="249"/>
      <c r="FF66" s="249"/>
      <c r="FG66" s="297"/>
      <c r="FH66" s="309"/>
      <c r="FI66" s="249"/>
      <c r="FJ66" s="249"/>
      <c r="FK66" s="249"/>
      <c r="FL66" s="249"/>
      <c r="FM66" s="249"/>
      <c r="FN66" s="297"/>
      <c r="FO66" s="309"/>
      <c r="FP66" s="249"/>
      <c r="FQ66" s="249"/>
      <c r="FR66" s="249"/>
      <c r="FS66" s="249"/>
      <c r="FT66" s="249"/>
      <c r="FU66" s="297"/>
      <c r="FV66" s="309"/>
      <c r="FW66" s="249"/>
      <c r="FX66" s="249"/>
      <c r="FY66" s="249"/>
      <c r="FZ66" s="249"/>
      <c r="GA66" s="249"/>
      <c r="GB66" s="297"/>
      <c r="GC66" s="309"/>
      <c r="GD66" s="249"/>
      <c r="GE66" s="249"/>
      <c r="GF66" s="249"/>
      <c r="GG66" s="249"/>
      <c r="GH66" s="249"/>
    </row>
    <row r="67" spans="1:190" ht="12.75">
      <c r="A67" s="310" t="s">
        <v>285</v>
      </c>
      <c r="B67" s="297">
        <f>SUM(B36:H36)</f>
        <v>30</v>
      </c>
      <c r="C67" s="311"/>
      <c r="D67" s="249"/>
      <c r="E67" s="249"/>
      <c r="F67" s="249"/>
      <c r="G67" s="249"/>
      <c r="H67" s="249"/>
      <c r="I67" s="297">
        <f>SUM(I36:O36)</f>
        <v>0</v>
      </c>
      <c r="J67" s="311"/>
      <c r="K67" s="249"/>
      <c r="L67" s="249"/>
      <c r="M67" s="249"/>
      <c r="N67" s="249"/>
      <c r="O67" s="249"/>
      <c r="P67" s="297">
        <f>SUM(P36:V36)</f>
        <v>0</v>
      </c>
      <c r="Q67" s="311"/>
      <c r="R67" s="249"/>
      <c r="S67" s="249"/>
      <c r="T67" s="249"/>
      <c r="U67" s="249"/>
      <c r="V67" s="249"/>
      <c r="W67" s="297">
        <f>SUM(W36:AC36)</f>
        <v>0</v>
      </c>
      <c r="X67" s="311"/>
      <c r="Y67" s="249"/>
      <c r="Z67" s="249"/>
      <c r="AA67" s="249"/>
      <c r="AB67" s="249"/>
      <c r="AC67" s="249"/>
      <c r="AD67" s="297">
        <f>SUM(AD36:AJ36)</f>
        <v>0</v>
      </c>
      <c r="AE67" s="311"/>
      <c r="AF67" s="249"/>
      <c r="AG67" s="249"/>
      <c r="AH67" s="249"/>
      <c r="AI67" s="249"/>
      <c r="AJ67" s="249"/>
      <c r="AK67" s="297">
        <f>SUM(AK36:AQ36)</f>
        <v>0</v>
      </c>
      <c r="AL67" s="311"/>
      <c r="AM67" s="249"/>
      <c r="AN67" s="249"/>
      <c r="AO67" s="249"/>
      <c r="AP67" s="249"/>
      <c r="AQ67" s="249"/>
      <c r="AR67" s="297">
        <f>SUM(AR36:AX36)</f>
        <v>0</v>
      </c>
      <c r="AS67" s="311"/>
      <c r="AT67" s="249"/>
      <c r="AU67" s="249"/>
      <c r="AV67" s="249"/>
      <c r="AW67" s="249"/>
      <c r="AX67" s="249"/>
      <c r="AY67" s="297">
        <f>SUM(AY36:BE36)</f>
        <v>0</v>
      </c>
      <c r="AZ67" s="311"/>
      <c r="BA67" s="249"/>
      <c r="BB67" s="249"/>
      <c r="BC67" s="249"/>
      <c r="BD67" s="249"/>
      <c r="BE67" s="249"/>
      <c r="BF67" s="297">
        <f>SUM(BF36:BL36)</f>
        <v>0</v>
      </c>
      <c r="BG67" s="311"/>
      <c r="BH67" s="249"/>
      <c r="BI67" s="249"/>
      <c r="BJ67" s="249"/>
      <c r="BK67" s="249"/>
      <c r="BL67" s="249"/>
      <c r="BM67" s="297">
        <f>SUM(BM36:BS36)</f>
        <v>0</v>
      </c>
      <c r="BN67" s="311"/>
      <c r="BO67" s="249"/>
      <c r="BP67" s="249"/>
      <c r="BQ67" s="249"/>
      <c r="BR67" s="249"/>
      <c r="BS67" s="249"/>
      <c r="BT67" s="297">
        <f>SUM(BT36:BZ36)</f>
        <v>0</v>
      </c>
      <c r="BU67" s="311"/>
      <c r="BV67" s="249"/>
      <c r="BW67" s="249"/>
      <c r="BX67" s="249"/>
      <c r="BY67" s="249"/>
      <c r="BZ67" s="249"/>
      <c r="CA67" s="297">
        <f>SUM(CA36:CG36)</f>
        <v>0</v>
      </c>
      <c r="CB67" s="311"/>
      <c r="CC67" s="249"/>
      <c r="CD67" s="249"/>
      <c r="CE67" s="249"/>
      <c r="CF67" s="249"/>
      <c r="CG67" s="249"/>
      <c r="CH67" s="297">
        <f>SUM(CH36:CN36)</f>
        <v>0</v>
      </c>
      <c r="CI67" s="311"/>
      <c r="CJ67" s="249"/>
      <c r="CK67" s="249"/>
      <c r="CL67" s="249"/>
      <c r="CM67" s="249"/>
      <c r="CN67" s="249"/>
      <c r="CO67" s="297">
        <f>SUM(CO36:CU36)</f>
        <v>0</v>
      </c>
      <c r="CP67" s="311"/>
      <c r="CQ67" s="249"/>
      <c r="CR67" s="249"/>
      <c r="CS67" s="249"/>
      <c r="CT67" s="249"/>
      <c r="CU67" s="249"/>
      <c r="CV67" s="297">
        <f>SUM(CV36:DB36)</f>
        <v>0</v>
      </c>
      <c r="CW67" s="311"/>
      <c r="CX67" s="249"/>
      <c r="CY67" s="249"/>
      <c r="CZ67" s="249"/>
      <c r="DA67" s="249"/>
      <c r="DB67" s="249"/>
      <c r="DC67" s="297">
        <f>SUM(DC36:DI36)</f>
        <v>0</v>
      </c>
      <c r="DD67" s="311"/>
      <c r="DE67" s="249"/>
      <c r="DF67" s="249"/>
      <c r="DG67" s="249"/>
      <c r="DH67" s="249"/>
      <c r="DI67" s="249"/>
      <c r="DJ67" s="297">
        <f>SUM(DJ36:DP36)</f>
        <v>0</v>
      </c>
      <c r="DK67" s="311"/>
      <c r="DL67" s="249"/>
      <c r="DM67" s="249"/>
      <c r="DN67" s="249"/>
      <c r="DO67" s="249"/>
      <c r="DP67" s="249"/>
      <c r="DQ67" s="297">
        <f>SUM(DQ36:DW36)</f>
        <v>0</v>
      </c>
      <c r="DR67" s="311"/>
      <c r="DS67" s="249"/>
      <c r="DT67" s="249"/>
      <c r="DU67" s="249"/>
      <c r="DV67" s="249"/>
      <c r="DW67" s="249"/>
      <c r="DX67" s="297">
        <f>SUM(DX36:ED36)</f>
        <v>0</v>
      </c>
      <c r="DY67" s="311"/>
      <c r="DZ67" s="249"/>
      <c r="EA67" s="249"/>
      <c r="EB67" s="249"/>
      <c r="EC67" s="249"/>
      <c r="ED67" s="249"/>
      <c r="EE67" s="297">
        <f>SUM(EE36:EK36)</f>
        <v>0</v>
      </c>
      <c r="EF67" s="311"/>
      <c r="EG67" s="249"/>
      <c r="EH67" s="249"/>
      <c r="EI67" s="249"/>
      <c r="EJ67" s="249"/>
      <c r="EK67" s="249"/>
      <c r="EL67" s="297">
        <f>SUM(EL36:ER36)</f>
        <v>0</v>
      </c>
      <c r="EM67" s="311"/>
      <c r="EN67" s="249"/>
      <c r="EO67" s="249"/>
      <c r="EP67" s="249"/>
      <c r="EQ67" s="249"/>
      <c r="ER67" s="249"/>
      <c r="ES67" s="297">
        <f>SUM(ES36:EY36)</f>
        <v>0</v>
      </c>
      <c r="ET67" s="311"/>
      <c r="EU67" s="249"/>
      <c r="EV67" s="249"/>
      <c r="EW67" s="249"/>
      <c r="EX67" s="249"/>
      <c r="EY67" s="249"/>
      <c r="EZ67" s="297">
        <f>SUM(EZ36:FF36)</f>
        <v>0</v>
      </c>
      <c r="FA67" s="311"/>
      <c r="FB67" s="249"/>
      <c r="FC67" s="249"/>
      <c r="FD67" s="249"/>
      <c r="FE67" s="249"/>
      <c r="FF67" s="249"/>
      <c r="FG67" s="297">
        <f>SUM(FG36:FM36)</f>
        <v>0</v>
      </c>
      <c r="FH67" s="311"/>
      <c r="FI67" s="249"/>
      <c r="FJ67" s="249"/>
      <c r="FK67" s="249"/>
      <c r="FL67" s="249"/>
      <c r="FM67" s="249"/>
      <c r="FN67" s="297">
        <f>SUM(FN36:FT36)</f>
        <v>0</v>
      </c>
      <c r="FO67" s="311"/>
      <c r="FP67" s="249"/>
      <c r="FQ67" s="249"/>
      <c r="FR67" s="249"/>
      <c r="FS67" s="249"/>
      <c r="FT67" s="249"/>
      <c r="FU67" s="297">
        <f>SUM(FU36:GA36)</f>
        <v>0</v>
      </c>
      <c r="FV67" s="311"/>
      <c r="FW67" s="249"/>
      <c r="FX67" s="249"/>
      <c r="FY67" s="249"/>
      <c r="FZ67" s="249"/>
      <c r="GA67" s="249"/>
      <c r="GB67" s="297">
        <f>SUM(GB36:GH36)</f>
        <v>0</v>
      </c>
      <c r="GC67" s="311"/>
      <c r="GD67" s="249"/>
      <c r="GE67" s="249"/>
      <c r="GF67" s="249"/>
      <c r="GG67" s="249"/>
      <c r="GH67" s="249"/>
    </row>
    <row r="68" spans="1:190" ht="12.75">
      <c r="A68" s="310" t="s">
        <v>286</v>
      </c>
      <c r="B68" s="297">
        <f>SUM(B37:H37)</f>
        <v>20</v>
      </c>
      <c r="C68" s="311"/>
      <c r="D68" s="249"/>
      <c r="E68" s="249"/>
      <c r="F68" s="249"/>
      <c r="G68" s="249"/>
      <c r="H68" s="249"/>
      <c r="I68" s="297">
        <f>SUM(I37:O37)</f>
        <v>0</v>
      </c>
      <c r="J68" s="311"/>
      <c r="K68" s="249"/>
      <c r="L68" s="249"/>
      <c r="M68" s="249"/>
      <c r="N68" s="249"/>
      <c r="O68" s="249"/>
      <c r="P68" s="297">
        <f>SUM(P37:V37)</f>
        <v>0</v>
      </c>
      <c r="Q68" s="311"/>
      <c r="R68" s="249"/>
      <c r="S68" s="249"/>
      <c r="T68" s="249"/>
      <c r="U68" s="249"/>
      <c r="V68" s="249"/>
      <c r="W68" s="297">
        <f>SUM(W37:AC37)</f>
        <v>0</v>
      </c>
      <c r="X68" s="311"/>
      <c r="Y68" s="249"/>
      <c r="Z68" s="249"/>
      <c r="AA68" s="249"/>
      <c r="AB68" s="249"/>
      <c r="AC68" s="249"/>
      <c r="AD68" s="297">
        <f>SUM(AD37:AJ37)</f>
        <v>0</v>
      </c>
      <c r="AE68" s="311"/>
      <c r="AF68" s="249"/>
      <c r="AG68" s="249"/>
      <c r="AH68" s="249"/>
      <c r="AI68" s="249"/>
      <c r="AJ68" s="249"/>
      <c r="AK68" s="297">
        <f>SUM(AK37:AQ37)</f>
        <v>0</v>
      </c>
      <c r="AL68" s="311"/>
      <c r="AM68" s="249"/>
      <c r="AN68" s="249"/>
      <c r="AO68" s="249"/>
      <c r="AP68" s="249"/>
      <c r="AQ68" s="249"/>
      <c r="AR68" s="297">
        <f>SUM(AR37:AX37)</f>
        <v>0</v>
      </c>
      <c r="AS68" s="311"/>
      <c r="AT68" s="249"/>
      <c r="AU68" s="249"/>
      <c r="AV68" s="249"/>
      <c r="AW68" s="249"/>
      <c r="AX68" s="249"/>
      <c r="AY68" s="297">
        <f>SUM(AY37:BE37)</f>
        <v>0</v>
      </c>
      <c r="AZ68" s="311"/>
      <c r="BA68" s="249"/>
      <c r="BB68" s="249"/>
      <c r="BC68" s="249"/>
      <c r="BD68" s="249"/>
      <c r="BE68" s="249"/>
      <c r="BF68" s="297">
        <f>SUM(BF37:BL37)</f>
        <v>0</v>
      </c>
      <c r="BG68" s="311"/>
      <c r="BH68" s="249"/>
      <c r="BI68" s="249"/>
      <c r="BJ68" s="249"/>
      <c r="BK68" s="249"/>
      <c r="BL68" s="249"/>
      <c r="BM68" s="297">
        <f>SUM(BM37:BS37)</f>
        <v>0</v>
      </c>
      <c r="BN68" s="311"/>
      <c r="BO68" s="249"/>
      <c r="BP68" s="249"/>
      <c r="BQ68" s="249"/>
      <c r="BR68" s="249"/>
      <c r="BS68" s="249"/>
      <c r="BT68" s="297">
        <f>SUM(BT37:BZ37)</f>
        <v>0</v>
      </c>
      <c r="BU68" s="311"/>
      <c r="BV68" s="249"/>
      <c r="BW68" s="249"/>
      <c r="BX68" s="249"/>
      <c r="BY68" s="249"/>
      <c r="BZ68" s="249"/>
      <c r="CA68" s="297">
        <f>SUM(CA37:CG37)</f>
        <v>0</v>
      </c>
      <c r="CB68" s="311"/>
      <c r="CC68" s="249"/>
      <c r="CD68" s="249"/>
      <c r="CE68" s="249"/>
      <c r="CF68" s="249"/>
      <c r="CG68" s="249"/>
      <c r="CH68" s="297">
        <f>SUM(CH37:CN37)</f>
        <v>0</v>
      </c>
      <c r="CI68" s="311"/>
      <c r="CJ68" s="249"/>
      <c r="CK68" s="249"/>
      <c r="CL68" s="249"/>
      <c r="CM68" s="249"/>
      <c r="CN68" s="249"/>
      <c r="CO68" s="297">
        <f>SUM(CO37:CU37)</f>
        <v>0</v>
      </c>
      <c r="CP68" s="311"/>
      <c r="CQ68" s="249"/>
      <c r="CR68" s="249"/>
      <c r="CS68" s="249"/>
      <c r="CT68" s="249"/>
      <c r="CU68" s="249"/>
      <c r="CV68" s="297">
        <f>SUM(CV37:DB37)</f>
        <v>0</v>
      </c>
      <c r="CW68" s="311"/>
      <c r="CX68" s="249"/>
      <c r="CY68" s="249"/>
      <c r="CZ68" s="249"/>
      <c r="DA68" s="249"/>
      <c r="DB68" s="249"/>
      <c r="DC68" s="297">
        <f>SUM(DC37:DI37)</f>
        <v>0</v>
      </c>
      <c r="DD68" s="311"/>
      <c r="DE68" s="249"/>
      <c r="DF68" s="249"/>
      <c r="DG68" s="249"/>
      <c r="DH68" s="249"/>
      <c r="DI68" s="249"/>
      <c r="DJ68" s="297">
        <f>SUM(DJ37:DP37)</f>
        <v>0</v>
      </c>
      <c r="DK68" s="311"/>
      <c r="DL68" s="249"/>
      <c r="DM68" s="249"/>
      <c r="DN68" s="249"/>
      <c r="DO68" s="249"/>
      <c r="DP68" s="249"/>
      <c r="DQ68" s="297">
        <f>SUM(DQ37:DW37)</f>
        <v>0</v>
      </c>
      <c r="DR68" s="311"/>
      <c r="DS68" s="249"/>
      <c r="DT68" s="249"/>
      <c r="DU68" s="249"/>
      <c r="DV68" s="249"/>
      <c r="DW68" s="249"/>
      <c r="DX68" s="297">
        <f>SUM(DX37:ED37)</f>
        <v>0</v>
      </c>
      <c r="DY68" s="311"/>
      <c r="DZ68" s="249"/>
      <c r="EA68" s="249"/>
      <c r="EB68" s="249"/>
      <c r="EC68" s="249"/>
      <c r="ED68" s="249"/>
      <c r="EE68" s="297">
        <f>SUM(EE37:EK37)</f>
        <v>0</v>
      </c>
      <c r="EF68" s="311"/>
      <c r="EG68" s="249"/>
      <c r="EH68" s="249"/>
      <c r="EI68" s="249"/>
      <c r="EJ68" s="249"/>
      <c r="EK68" s="249"/>
      <c r="EL68" s="297">
        <f>SUM(EL37:ER37)</f>
        <v>0</v>
      </c>
      <c r="EM68" s="311"/>
      <c r="EN68" s="249"/>
      <c r="EO68" s="249"/>
      <c r="EP68" s="249"/>
      <c r="EQ68" s="249"/>
      <c r="ER68" s="249"/>
      <c r="ES68" s="297">
        <f>SUM(ES37:EY37)</f>
        <v>0</v>
      </c>
      <c r="ET68" s="311"/>
      <c r="EU68" s="249"/>
      <c r="EV68" s="249"/>
      <c r="EW68" s="249"/>
      <c r="EX68" s="249"/>
      <c r="EY68" s="249"/>
      <c r="EZ68" s="297">
        <f>SUM(EZ37:FF37)</f>
        <v>0</v>
      </c>
      <c r="FA68" s="311"/>
      <c r="FB68" s="249"/>
      <c r="FC68" s="249"/>
      <c r="FD68" s="249"/>
      <c r="FE68" s="249"/>
      <c r="FF68" s="249"/>
      <c r="FG68" s="297">
        <f>SUM(FG37:FM37)</f>
        <v>0</v>
      </c>
      <c r="FH68" s="311"/>
      <c r="FI68" s="249"/>
      <c r="FJ68" s="249"/>
      <c r="FK68" s="249"/>
      <c r="FL68" s="249"/>
      <c r="FM68" s="249"/>
      <c r="FN68" s="297">
        <f>SUM(FN37:FT37)</f>
        <v>0</v>
      </c>
      <c r="FO68" s="311"/>
      <c r="FP68" s="249"/>
      <c r="FQ68" s="249"/>
      <c r="FR68" s="249"/>
      <c r="FS68" s="249"/>
      <c r="FT68" s="249"/>
      <c r="FU68" s="297">
        <f>SUM(FU37:GA37)</f>
        <v>0</v>
      </c>
      <c r="FV68" s="311"/>
      <c r="FW68" s="249"/>
      <c r="FX68" s="249"/>
      <c r="FY68" s="249"/>
      <c r="FZ68" s="249"/>
      <c r="GA68" s="249"/>
      <c r="GB68" s="297">
        <f>SUM(GB37:GH37)</f>
        <v>0</v>
      </c>
      <c r="GC68" s="311"/>
      <c r="GD68" s="249"/>
      <c r="GE68" s="249"/>
      <c r="GF68" s="249"/>
      <c r="GG68" s="249"/>
      <c r="GH68" s="249"/>
    </row>
    <row r="69" spans="1:190" ht="12.75">
      <c r="A69" s="299" t="s">
        <v>287</v>
      </c>
      <c r="B69" s="297">
        <f>SUM(B38:H38)</f>
        <v>0</v>
      </c>
      <c r="C69" s="311"/>
      <c r="D69" s="249"/>
      <c r="E69" s="249"/>
      <c r="F69" s="249"/>
      <c r="G69" s="249"/>
      <c r="H69" s="249"/>
      <c r="I69" s="297">
        <f>SUM(I38:O38)</f>
        <v>0</v>
      </c>
      <c r="J69" s="311"/>
      <c r="K69" s="249"/>
      <c r="L69" s="249"/>
      <c r="M69" s="249"/>
      <c r="N69" s="249"/>
      <c r="O69" s="249"/>
      <c r="P69" s="297">
        <f>SUM(P38:V38)</f>
        <v>0</v>
      </c>
      <c r="Q69" s="311"/>
      <c r="R69" s="249"/>
      <c r="S69" s="249"/>
      <c r="T69" s="249"/>
      <c r="U69" s="249"/>
      <c r="V69" s="249"/>
      <c r="W69" s="297">
        <f>SUM(W38:AC38)</f>
        <v>0</v>
      </c>
      <c r="X69" s="311"/>
      <c r="Y69" s="249"/>
      <c r="Z69" s="249"/>
      <c r="AA69" s="249"/>
      <c r="AB69" s="249"/>
      <c r="AC69" s="249"/>
      <c r="AD69" s="297">
        <f>SUM(AD38:AJ38)</f>
        <v>0</v>
      </c>
      <c r="AE69" s="311"/>
      <c r="AF69" s="249"/>
      <c r="AG69" s="249"/>
      <c r="AH69" s="249"/>
      <c r="AI69" s="249"/>
      <c r="AJ69" s="249"/>
      <c r="AK69" s="297">
        <f>SUM(AK38:AQ38)</f>
        <v>0</v>
      </c>
      <c r="AL69" s="311"/>
      <c r="AM69" s="249"/>
      <c r="AN69" s="249"/>
      <c r="AO69" s="249"/>
      <c r="AP69" s="249"/>
      <c r="AQ69" s="249"/>
      <c r="AR69" s="297">
        <f>SUM(AR38:AX38)</f>
        <v>0</v>
      </c>
      <c r="AS69" s="311"/>
      <c r="AT69" s="249"/>
      <c r="AU69" s="249"/>
      <c r="AV69" s="249"/>
      <c r="AW69" s="249"/>
      <c r="AX69" s="249"/>
      <c r="AY69" s="297">
        <f>SUM(AY38:BE38)</f>
        <v>0</v>
      </c>
      <c r="AZ69" s="311"/>
      <c r="BA69" s="249"/>
      <c r="BB69" s="249"/>
      <c r="BC69" s="249"/>
      <c r="BD69" s="249"/>
      <c r="BE69" s="249"/>
      <c r="BF69" s="297">
        <f>SUM(BF38:BL38)</f>
        <v>0</v>
      </c>
      <c r="BG69" s="311"/>
      <c r="BH69" s="249"/>
      <c r="BI69" s="249"/>
      <c r="BJ69" s="249"/>
      <c r="BK69" s="249"/>
      <c r="BL69" s="249"/>
      <c r="BM69" s="297">
        <f>SUM(BM38:BS38)</f>
        <v>0</v>
      </c>
      <c r="BN69" s="311"/>
      <c r="BO69" s="249"/>
      <c r="BP69" s="249"/>
      <c r="BQ69" s="249"/>
      <c r="BR69" s="249"/>
      <c r="BS69" s="249"/>
      <c r="BT69" s="297">
        <f>SUM(BT38:BZ38)</f>
        <v>0</v>
      </c>
      <c r="BU69" s="311"/>
      <c r="BV69" s="249"/>
      <c r="BW69" s="249"/>
      <c r="BX69" s="249"/>
      <c r="BY69" s="249"/>
      <c r="BZ69" s="249"/>
      <c r="CA69" s="297">
        <f>SUM(CA38:CG38)</f>
        <v>0</v>
      </c>
      <c r="CB69" s="311"/>
      <c r="CC69" s="249"/>
      <c r="CD69" s="249"/>
      <c r="CE69" s="249"/>
      <c r="CF69" s="249"/>
      <c r="CG69" s="249"/>
      <c r="CH69" s="297">
        <f>SUM(CH38:CN38)</f>
        <v>0</v>
      </c>
      <c r="CI69" s="311"/>
      <c r="CJ69" s="249"/>
      <c r="CK69" s="249"/>
      <c r="CL69" s="249"/>
      <c r="CM69" s="249"/>
      <c r="CN69" s="249"/>
      <c r="CO69" s="297">
        <f>SUM(CO38:CU38)</f>
        <v>0</v>
      </c>
      <c r="CP69" s="311"/>
      <c r="CQ69" s="249"/>
      <c r="CR69" s="249"/>
      <c r="CS69" s="249"/>
      <c r="CT69" s="249"/>
      <c r="CU69" s="249"/>
      <c r="CV69" s="297">
        <f>SUM(CV38:DB38)</f>
        <v>0</v>
      </c>
      <c r="CW69" s="311"/>
      <c r="CX69" s="249"/>
      <c r="CY69" s="249"/>
      <c r="CZ69" s="249"/>
      <c r="DA69" s="249"/>
      <c r="DB69" s="249"/>
      <c r="DC69" s="297">
        <f>SUM(DC38:DI38)</f>
        <v>0</v>
      </c>
      <c r="DD69" s="311"/>
      <c r="DE69" s="249"/>
      <c r="DF69" s="249"/>
      <c r="DG69" s="249"/>
      <c r="DH69" s="249"/>
      <c r="DI69" s="249"/>
      <c r="DJ69" s="297">
        <f>SUM(DJ38:DP38)</f>
        <v>0</v>
      </c>
      <c r="DK69" s="311"/>
      <c r="DL69" s="249"/>
      <c r="DM69" s="249"/>
      <c r="DN69" s="249"/>
      <c r="DO69" s="249"/>
      <c r="DP69" s="249"/>
      <c r="DQ69" s="297">
        <f>SUM(DQ38:DW38)</f>
        <v>0</v>
      </c>
      <c r="DR69" s="311"/>
      <c r="DS69" s="249"/>
      <c r="DT69" s="249"/>
      <c r="DU69" s="249"/>
      <c r="DV69" s="249"/>
      <c r="DW69" s="249"/>
      <c r="DX69" s="297">
        <f>SUM(DX38:ED38)</f>
        <v>0</v>
      </c>
      <c r="DY69" s="311"/>
      <c r="DZ69" s="249"/>
      <c r="EA69" s="249"/>
      <c r="EB69" s="249"/>
      <c r="EC69" s="249"/>
      <c r="ED69" s="249"/>
      <c r="EE69" s="297">
        <f>SUM(EE38:EK38)</f>
        <v>0</v>
      </c>
      <c r="EF69" s="311"/>
      <c r="EG69" s="249"/>
      <c r="EH69" s="249"/>
      <c r="EI69" s="249"/>
      <c r="EJ69" s="249"/>
      <c r="EK69" s="249"/>
      <c r="EL69" s="297">
        <f>SUM(EL38:ER38)</f>
        <v>0</v>
      </c>
      <c r="EM69" s="311"/>
      <c r="EN69" s="249"/>
      <c r="EO69" s="249"/>
      <c r="EP69" s="249"/>
      <c r="EQ69" s="249"/>
      <c r="ER69" s="249"/>
      <c r="ES69" s="297">
        <f>SUM(ES38:EY38)</f>
        <v>0</v>
      </c>
      <c r="ET69" s="311"/>
      <c r="EU69" s="249"/>
      <c r="EV69" s="249"/>
      <c r="EW69" s="249"/>
      <c r="EX69" s="249"/>
      <c r="EY69" s="249"/>
      <c r="EZ69" s="297">
        <f>SUM(EZ38:FF38)</f>
        <v>0</v>
      </c>
      <c r="FA69" s="311"/>
      <c r="FB69" s="249"/>
      <c r="FC69" s="249"/>
      <c r="FD69" s="249"/>
      <c r="FE69" s="249"/>
      <c r="FF69" s="249"/>
      <c r="FG69" s="297">
        <f>SUM(FG38:FM38)</f>
        <v>0</v>
      </c>
      <c r="FH69" s="311"/>
      <c r="FI69" s="249"/>
      <c r="FJ69" s="249"/>
      <c r="FK69" s="249"/>
      <c r="FL69" s="249"/>
      <c r="FM69" s="249"/>
      <c r="FN69" s="297">
        <f>SUM(FN38:FT38)</f>
        <v>0</v>
      </c>
      <c r="FO69" s="311"/>
      <c r="FP69" s="249"/>
      <c r="FQ69" s="249"/>
      <c r="FR69" s="249"/>
      <c r="FS69" s="249"/>
      <c r="FT69" s="249"/>
      <c r="FU69" s="297">
        <f>SUM(FU38:GA38)</f>
        <v>0</v>
      </c>
      <c r="FV69" s="311"/>
      <c r="FW69" s="249"/>
      <c r="FX69" s="249"/>
      <c r="FY69" s="249"/>
      <c r="FZ69" s="249"/>
      <c r="GA69" s="249"/>
      <c r="GB69" s="297">
        <f>SUM(GB38:GH38)</f>
        <v>0</v>
      </c>
      <c r="GC69" s="311"/>
      <c r="GD69" s="249"/>
      <c r="GE69" s="249"/>
      <c r="GF69" s="249"/>
      <c r="GG69" s="249"/>
      <c r="GH69" s="249"/>
    </row>
    <row r="70" spans="1:190" ht="12.75">
      <c r="A70" s="312" t="s">
        <v>288</v>
      </c>
      <c r="B70" s="297">
        <f>SUM(B39:H39)</f>
        <v>0</v>
      </c>
      <c r="C70" s="311"/>
      <c r="D70" s="249"/>
      <c r="E70" s="249"/>
      <c r="F70" s="249"/>
      <c r="G70" s="249"/>
      <c r="H70" s="249"/>
      <c r="I70" s="297">
        <f>SUM(I39:O39)</f>
        <v>0</v>
      </c>
      <c r="J70" s="311"/>
      <c r="K70" s="249"/>
      <c r="L70" s="249"/>
      <c r="M70" s="249"/>
      <c r="N70" s="249"/>
      <c r="O70" s="249"/>
      <c r="P70" s="297">
        <f>SUM(P39:V39)</f>
        <v>0</v>
      </c>
      <c r="Q70" s="311"/>
      <c r="R70" s="249"/>
      <c r="S70" s="249"/>
      <c r="T70" s="249"/>
      <c r="U70" s="249"/>
      <c r="V70" s="249"/>
      <c r="W70" s="297">
        <f>SUM(W39:AC39)</f>
        <v>0</v>
      </c>
      <c r="X70" s="311"/>
      <c r="Y70" s="249"/>
      <c r="Z70" s="249"/>
      <c r="AA70" s="249"/>
      <c r="AB70" s="249"/>
      <c r="AC70" s="249"/>
      <c r="AD70" s="297">
        <f>SUM(AD39:AJ39)</f>
        <v>0</v>
      </c>
      <c r="AE70" s="311"/>
      <c r="AF70" s="249"/>
      <c r="AG70" s="249"/>
      <c r="AH70" s="249"/>
      <c r="AI70" s="249"/>
      <c r="AJ70" s="249"/>
      <c r="AK70" s="297">
        <f>SUM(AK39:AQ39)</f>
        <v>0</v>
      </c>
      <c r="AL70" s="311"/>
      <c r="AM70" s="249"/>
      <c r="AN70" s="249"/>
      <c r="AO70" s="249"/>
      <c r="AP70" s="249"/>
      <c r="AQ70" s="249"/>
      <c r="AR70" s="297">
        <f>SUM(AR39:AX39)</f>
        <v>0</v>
      </c>
      <c r="AS70" s="311"/>
      <c r="AT70" s="249"/>
      <c r="AU70" s="249"/>
      <c r="AV70" s="249"/>
      <c r="AW70" s="249"/>
      <c r="AX70" s="249"/>
      <c r="AY70" s="297">
        <f>SUM(AY39:BE39)</f>
        <v>0</v>
      </c>
      <c r="AZ70" s="311"/>
      <c r="BA70" s="249"/>
      <c r="BB70" s="249"/>
      <c r="BC70" s="249"/>
      <c r="BD70" s="249"/>
      <c r="BE70" s="249"/>
      <c r="BF70" s="297">
        <f>SUM(BF39:BL39)</f>
        <v>0</v>
      </c>
      <c r="BG70" s="311"/>
      <c r="BH70" s="249"/>
      <c r="BI70" s="249"/>
      <c r="BJ70" s="249"/>
      <c r="BK70" s="249"/>
      <c r="BL70" s="249"/>
      <c r="BM70" s="297">
        <f>SUM(BM39:BS39)</f>
        <v>0</v>
      </c>
      <c r="BN70" s="311"/>
      <c r="BO70" s="249"/>
      <c r="BP70" s="249"/>
      <c r="BQ70" s="249"/>
      <c r="BR70" s="249"/>
      <c r="BS70" s="249"/>
      <c r="BT70" s="297">
        <f>SUM(BT39:BZ39)</f>
        <v>0</v>
      </c>
      <c r="BU70" s="311"/>
      <c r="BV70" s="249"/>
      <c r="BW70" s="249"/>
      <c r="BX70" s="249"/>
      <c r="BY70" s="249"/>
      <c r="BZ70" s="249"/>
      <c r="CA70" s="297">
        <f>SUM(CA39:CG39)</f>
        <v>0</v>
      </c>
      <c r="CB70" s="311"/>
      <c r="CC70" s="249"/>
      <c r="CD70" s="249"/>
      <c r="CE70" s="249"/>
      <c r="CF70" s="249"/>
      <c r="CG70" s="249"/>
      <c r="CH70" s="297">
        <f>SUM(CH39:CN39)</f>
        <v>0</v>
      </c>
      <c r="CI70" s="311"/>
      <c r="CJ70" s="249"/>
      <c r="CK70" s="249"/>
      <c r="CL70" s="249"/>
      <c r="CM70" s="249"/>
      <c r="CN70" s="249"/>
      <c r="CO70" s="297">
        <f>SUM(CO39:CU39)</f>
        <v>0</v>
      </c>
      <c r="CP70" s="311"/>
      <c r="CQ70" s="249"/>
      <c r="CR70" s="249"/>
      <c r="CS70" s="249"/>
      <c r="CT70" s="249"/>
      <c r="CU70" s="249"/>
      <c r="CV70" s="297">
        <f>SUM(CV39:DB39)</f>
        <v>0</v>
      </c>
      <c r="CW70" s="311"/>
      <c r="CX70" s="249"/>
      <c r="CY70" s="249"/>
      <c r="CZ70" s="249"/>
      <c r="DA70" s="249"/>
      <c r="DB70" s="249"/>
      <c r="DC70" s="297">
        <f>SUM(DC39:DI39)</f>
        <v>0</v>
      </c>
      <c r="DD70" s="311"/>
      <c r="DE70" s="249"/>
      <c r="DF70" s="249"/>
      <c r="DG70" s="249"/>
      <c r="DH70" s="249"/>
      <c r="DI70" s="249"/>
      <c r="DJ70" s="297">
        <f>SUM(DJ39:DP39)</f>
        <v>0</v>
      </c>
      <c r="DK70" s="311"/>
      <c r="DL70" s="249"/>
      <c r="DM70" s="249"/>
      <c r="DN70" s="249"/>
      <c r="DO70" s="249"/>
      <c r="DP70" s="249"/>
      <c r="DQ70" s="297">
        <f>SUM(DQ39:DW39)</f>
        <v>0</v>
      </c>
      <c r="DR70" s="311"/>
      <c r="DS70" s="249"/>
      <c r="DT70" s="249"/>
      <c r="DU70" s="249"/>
      <c r="DV70" s="249"/>
      <c r="DW70" s="249"/>
      <c r="DX70" s="297">
        <f>SUM(DX39:ED39)</f>
        <v>0</v>
      </c>
      <c r="DY70" s="311"/>
      <c r="DZ70" s="249"/>
      <c r="EA70" s="249"/>
      <c r="EB70" s="249"/>
      <c r="EC70" s="249"/>
      <c r="ED70" s="249"/>
      <c r="EE70" s="297">
        <f>SUM(EE39:EK39)</f>
        <v>0</v>
      </c>
      <c r="EF70" s="311"/>
      <c r="EG70" s="249"/>
      <c r="EH70" s="249"/>
      <c r="EI70" s="249"/>
      <c r="EJ70" s="249"/>
      <c r="EK70" s="249"/>
      <c r="EL70" s="297">
        <f>SUM(EL39:ER39)</f>
        <v>0</v>
      </c>
      <c r="EM70" s="311"/>
      <c r="EN70" s="249"/>
      <c r="EO70" s="249"/>
      <c r="EP70" s="249"/>
      <c r="EQ70" s="249"/>
      <c r="ER70" s="249"/>
      <c r="ES70" s="297">
        <f>SUM(ES39:EY39)</f>
        <v>0</v>
      </c>
      <c r="ET70" s="311"/>
      <c r="EU70" s="249"/>
      <c r="EV70" s="249"/>
      <c r="EW70" s="249"/>
      <c r="EX70" s="249"/>
      <c r="EY70" s="249"/>
      <c r="EZ70" s="297">
        <f>SUM(EZ39:FF39)</f>
        <v>0</v>
      </c>
      <c r="FA70" s="311"/>
      <c r="FB70" s="249"/>
      <c r="FC70" s="249"/>
      <c r="FD70" s="249"/>
      <c r="FE70" s="249"/>
      <c r="FF70" s="249"/>
      <c r="FG70" s="297">
        <f>SUM(FG39:FM39)</f>
        <v>0</v>
      </c>
      <c r="FH70" s="311"/>
      <c r="FI70" s="249"/>
      <c r="FJ70" s="249"/>
      <c r="FK70" s="249"/>
      <c r="FL70" s="249"/>
      <c r="FM70" s="249"/>
      <c r="FN70" s="297">
        <f>SUM(FN39:FT39)</f>
        <v>0</v>
      </c>
      <c r="FO70" s="311"/>
      <c r="FP70" s="249"/>
      <c r="FQ70" s="249"/>
      <c r="FR70" s="249"/>
      <c r="FS70" s="249"/>
      <c r="FT70" s="249"/>
      <c r="FU70" s="297">
        <f>SUM(FU39:GA39)</f>
        <v>0</v>
      </c>
      <c r="FV70" s="311"/>
      <c r="FW70" s="249"/>
      <c r="FX70" s="249"/>
      <c r="FY70" s="249"/>
      <c r="FZ70" s="249"/>
      <c r="GA70" s="249"/>
      <c r="GB70" s="297">
        <f>SUM(GB39:GH39)</f>
        <v>0</v>
      </c>
      <c r="GC70" s="311"/>
      <c r="GD70" s="249"/>
      <c r="GE70" s="249"/>
      <c r="GF70" s="249"/>
      <c r="GG70" s="249"/>
      <c r="GH70" s="249"/>
    </row>
    <row r="71" spans="1:190" ht="12.75">
      <c r="A71" s="310" t="s">
        <v>3</v>
      </c>
      <c r="B71" s="297">
        <f>SUM(B17:H17)</f>
        <v>37.4</v>
      </c>
      <c r="C71" s="311"/>
      <c r="D71" s="249"/>
      <c r="E71" s="249"/>
      <c r="F71" s="249"/>
      <c r="G71" s="249"/>
      <c r="H71" s="249"/>
      <c r="I71" s="297">
        <f>SUM(I17:O17)</f>
        <v>0</v>
      </c>
      <c r="J71" s="311"/>
      <c r="K71" s="249"/>
      <c r="L71" s="249"/>
      <c r="M71" s="249"/>
      <c r="N71" s="249"/>
      <c r="O71" s="249"/>
      <c r="P71" s="297">
        <f>SUM(P17:V17)</f>
        <v>0</v>
      </c>
      <c r="Q71" s="311"/>
      <c r="R71" s="249"/>
      <c r="S71" s="249"/>
      <c r="T71" s="249"/>
      <c r="U71" s="249"/>
      <c r="V71" s="249"/>
      <c r="W71" s="297">
        <f>SUM(W17:AC17)</f>
        <v>0</v>
      </c>
      <c r="X71" s="311"/>
      <c r="Y71" s="249"/>
      <c r="Z71" s="249"/>
      <c r="AA71" s="249"/>
      <c r="AB71" s="249"/>
      <c r="AC71" s="249"/>
      <c r="AD71" s="297">
        <f>SUM(AD17:AJ17)</f>
        <v>0</v>
      </c>
      <c r="AE71" s="311"/>
      <c r="AF71" s="249"/>
      <c r="AG71" s="249"/>
      <c r="AH71" s="249"/>
      <c r="AI71" s="249"/>
      <c r="AJ71" s="249"/>
      <c r="AK71" s="297">
        <f>SUM(AK17:AQ17)</f>
        <v>0</v>
      </c>
      <c r="AL71" s="311"/>
      <c r="AM71" s="249"/>
      <c r="AN71" s="249"/>
      <c r="AO71" s="249"/>
      <c r="AP71" s="249"/>
      <c r="AQ71" s="249"/>
      <c r="AR71" s="297">
        <f>SUM(AR17:AX17)</f>
        <v>0</v>
      </c>
      <c r="AS71" s="311"/>
      <c r="AT71" s="249"/>
      <c r="AU71" s="249"/>
      <c r="AV71" s="249"/>
      <c r="AW71" s="249"/>
      <c r="AX71" s="249"/>
      <c r="AY71" s="297">
        <f>SUM(AY17:BE17)</f>
        <v>0</v>
      </c>
      <c r="AZ71" s="311"/>
      <c r="BA71" s="249"/>
      <c r="BB71" s="249"/>
      <c r="BC71" s="249"/>
      <c r="BD71" s="249"/>
      <c r="BE71" s="249"/>
      <c r="BF71" s="297">
        <f>SUM(BF17:BL17)</f>
        <v>0</v>
      </c>
      <c r="BG71" s="311"/>
      <c r="BH71" s="249"/>
      <c r="BI71" s="249"/>
      <c r="BJ71" s="249"/>
      <c r="BK71" s="249"/>
      <c r="BL71" s="249"/>
      <c r="BM71" s="297">
        <f>SUM(BM17:BS17)</f>
        <v>0</v>
      </c>
      <c r="BN71" s="311"/>
      <c r="BO71" s="249"/>
      <c r="BP71" s="249"/>
      <c r="BQ71" s="249"/>
      <c r="BR71" s="249"/>
      <c r="BS71" s="249"/>
      <c r="BT71" s="297">
        <f>SUM(BT17:BZ17)</f>
        <v>0</v>
      </c>
      <c r="BU71" s="311"/>
      <c r="BV71" s="249"/>
      <c r="BW71" s="249"/>
      <c r="BX71" s="249"/>
      <c r="BY71" s="249"/>
      <c r="BZ71" s="249"/>
      <c r="CA71" s="297">
        <f>SUM(CA17:CG17)</f>
        <v>0</v>
      </c>
      <c r="CB71" s="311"/>
      <c r="CC71" s="249"/>
      <c r="CD71" s="249"/>
      <c r="CE71" s="249"/>
      <c r="CF71" s="249"/>
      <c r="CG71" s="249"/>
      <c r="CH71" s="297">
        <f>SUM(CH17:CN17)</f>
        <v>0</v>
      </c>
      <c r="CI71" s="311"/>
      <c r="CJ71" s="249"/>
      <c r="CK71" s="249"/>
      <c r="CL71" s="249"/>
      <c r="CM71" s="249"/>
      <c r="CN71" s="249"/>
      <c r="CO71" s="297">
        <f>SUM(CO17:CU17)</f>
        <v>0</v>
      </c>
      <c r="CP71" s="311"/>
      <c r="CQ71" s="249"/>
      <c r="CR71" s="249"/>
      <c r="CS71" s="249"/>
      <c r="CT71" s="249"/>
      <c r="CU71" s="249"/>
      <c r="CV71" s="297">
        <f>SUM(CV17:DB17)</f>
        <v>0</v>
      </c>
      <c r="CW71" s="311"/>
      <c r="CX71" s="249"/>
      <c r="CY71" s="249"/>
      <c r="CZ71" s="249"/>
      <c r="DA71" s="249"/>
      <c r="DB71" s="249"/>
      <c r="DC71" s="297">
        <f>SUM(DC17:DI17)</f>
        <v>0</v>
      </c>
      <c r="DD71" s="311"/>
      <c r="DE71" s="249"/>
      <c r="DF71" s="249"/>
      <c r="DG71" s="249"/>
      <c r="DH71" s="249"/>
      <c r="DI71" s="249"/>
      <c r="DJ71" s="297">
        <f>SUM(DJ17:DP17)</f>
        <v>0</v>
      </c>
      <c r="DK71" s="311"/>
      <c r="DL71" s="249"/>
      <c r="DM71" s="249"/>
      <c r="DN71" s="249"/>
      <c r="DO71" s="249"/>
      <c r="DP71" s="249"/>
      <c r="DQ71" s="297">
        <f>SUM(DQ17:DW17)</f>
        <v>0</v>
      </c>
      <c r="DR71" s="311"/>
      <c r="DS71" s="249"/>
      <c r="DT71" s="249"/>
      <c r="DU71" s="249"/>
      <c r="DV71" s="249"/>
      <c r="DW71" s="249"/>
      <c r="DX71" s="297">
        <f>SUM(DX17:ED17)</f>
        <v>0</v>
      </c>
      <c r="DY71" s="311"/>
      <c r="DZ71" s="249"/>
      <c r="EA71" s="249"/>
      <c r="EB71" s="249"/>
      <c r="EC71" s="249"/>
      <c r="ED71" s="249"/>
      <c r="EE71" s="297">
        <f>SUM(EE17:EK17)</f>
        <v>0</v>
      </c>
      <c r="EF71" s="311"/>
      <c r="EG71" s="249"/>
      <c r="EH71" s="249"/>
      <c r="EI71" s="249"/>
      <c r="EJ71" s="249"/>
      <c r="EK71" s="249"/>
      <c r="EL71" s="297">
        <f>SUM(EL17:ER17)</f>
        <v>0</v>
      </c>
      <c r="EM71" s="311"/>
      <c r="EN71" s="249"/>
      <c r="EO71" s="249"/>
      <c r="EP71" s="249"/>
      <c r="EQ71" s="249"/>
      <c r="ER71" s="249"/>
      <c r="ES71" s="297">
        <f>SUM(ES17:EY17)</f>
        <v>0</v>
      </c>
      <c r="ET71" s="311"/>
      <c r="EU71" s="249"/>
      <c r="EV71" s="249"/>
      <c r="EW71" s="249"/>
      <c r="EX71" s="249"/>
      <c r="EY71" s="249"/>
      <c r="EZ71" s="297">
        <f>SUM(EZ17:FF17)</f>
        <v>0</v>
      </c>
      <c r="FA71" s="311"/>
      <c r="FB71" s="249"/>
      <c r="FC71" s="249"/>
      <c r="FD71" s="249"/>
      <c r="FE71" s="249"/>
      <c r="FF71" s="249"/>
      <c r="FG71" s="297">
        <f>SUM(FG17:FM17)</f>
        <v>0</v>
      </c>
      <c r="FH71" s="311"/>
      <c r="FI71" s="249"/>
      <c r="FJ71" s="249"/>
      <c r="FK71" s="249"/>
      <c r="FL71" s="249"/>
      <c r="FM71" s="249"/>
      <c r="FN71" s="297">
        <f>SUM(FN17:FT17)</f>
        <v>0</v>
      </c>
      <c r="FO71" s="311"/>
      <c r="FP71" s="249"/>
      <c r="FQ71" s="249"/>
      <c r="FR71" s="249"/>
      <c r="FS71" s="249"/>
      <c r="FT71" s="249"/>
      <c r="FU71" s="297">
        <f>SUM(FU17:GA17)</f>
        <v>0</v>
      </c>
      <c r="FV71" s="311"/>
      <c r="FW71" s="249"/>
      <c r="FX71" s="249"/>
      <c r="FY71" s="249"/>
      <c r="FZ71" s="249"/>
      <c r="GA71" s="249"/>
      <c r="GB71" s="297">
        <f>SUM(GB17:GH17)</f>
        <v>0</v>
      </c>
      <c r="GC71" s="311"/>
      <c r="GD71" s="249"/>
      <c r="GE71" s="249"/>
      <c r="GF71" s="249"/>
      <c r="GG71" s="249"/>
      <c r="GH71" s="249"/>
    </row>
    <row r="72" spans="1:190" ht="12.75">
      <c r="A72" s="310" t="s">
        <v>289</v>
      </c>
      <c r="B72" s="297">
        <f>SUM(B26:H26)</f>
        <v>107.85</v>
      </c>
      <c r="C72" s="311"/>
      <c r="D72" s="249"/>
      <c r="E72" s="249"/>
      <c r="F72" s="249"/>
      <c r="G72" s="249"/>
      <c r="H72" s="249"/>
      <c r="I72" s="297">
        <f>SUM(I26:O26)</f>
        <v>0</v>
      </c>
      <c r="J72" s="311"/>
      <c r="K72" s="249"/>
      <c r="L72" s="249"/>
      <c r="M72" s="249"/>
      <c r="N72" s="249"/>
      <c r="O72" s="249"/>
      <c r="P72" s="297">
        <f>SUM(P26:V26)</f>
        <v>0</v>
      </c>
      <c r="Q72" s="311"/>
      <c r="R72" s="249"/>
      <c r="S72" s="249"/>
      <c r="T72" s="249"/>
      <c r="U72" s="249"/>
      <c r="V72" s="249"/>
      <c r="W72" s="297">
        <f>SUM(W26:AC26)</f>
        <v>0</v>
      </c>
      <c r="X72" s="311"/>
      <c r="Y72" s="249"/>
      <c r="Z72" s="249"/>
      <c r="AA72" s="249"/>
      <c r="AB72" s="249"/>
      <c r="AC72" s="249"/>
      <c r="AD72" s="297">
        <f>SUM(AD26:AJ26)</f>
        <v>0</v>
      </c>
      <c r="AE72" s="311"/>
      <c r="AF72" s="249"/>
      <c r="AG72" s="249"/>
      <c r="AH72" s="249"/>
      <c r="AI72" s="249"/>
      <c r="AJ72" s="249"/>
      <c r="AK72" s="297">
        <f>SUM(AK26:AQ26)</f>
        <v>0</v>
      </c>
      <c r="AL72" s="311"/>
      <c r="AM72" s="249"/>
      <c r="AN72" s="249"/>
      <c r="AO72" s="249"/>
      <c r="AP72" s="249"/>
      <c r="AQ72" s="249"/>
      <c r="AR72" s="297">
        <f>SUM(AR26:AX26)</f>
        <v>0</v>
      </c>
      <c r="AS72" s="311"/>
      <c r="AT72" s="249"/>
      <c r="AU72" s="249"/>
      <c r="AV72" s="249"/>
      <c r="AW72" s="249"/>
      <c r="AX72" s="249"/>
      <c r="AY72" s="297">
        <f>SUM(AY26:BE26)</f>
        <v>0</v>
      </c>
      <c r="AZ72" s="311"/>
      <c r="BA72" s="249"/>
      <c r="BB72" s="249"/>
      <c r="BC72" s="249"/>
      <c r="BD72" s="249"/>
      <c r="BE72" s="249"/>
      <c r="BF72" s="297">
        <f>SUM(BF26:BL26)</f>
        <v>0</v>
      </c>
      <c r="BG72" s="311"/>
      <c r="BH72" s="249"/>
      <c r="BI72" s="249"/>
      <c r="BJ72" s="249"/>
      <c r="BK72" s="249"/>
      <c r="BL72" s="249"/>
      <c r="BM72" s="297">
        <f>SUM(BM26:BS26)</f>
        <v>0</v>
      </c>
      <c r="BN72" s="311"/>
      <c r="BO72" s="249"/>
      <c r="BP72" s="249"/>
      <c r="BQ72" s="249"/>
      <c r="BR72" s="249"/>
      <c r="BS72" s="249"/>
      <c r="BT72" s="297">
        <f>SUM(BT26:BZ26)</f>
        <v>0</v>
      </c>
      <c r="BU72" s="311"/>
      <c r="BV72" s="249"/>
      <c r="BW72" s="249"/>
      <c r="BX72" s="249"/>
      <c r="BY72" s="249"/>
      <c r="BZ72" s="249"/>
      <c r="CA72" s="297">
        <f>SUM(CA26:CG26)</f>
        <v>0</v>
      </c>
      <c r="CB72" s="311"/>
      <c r="CC72" s="249"/>
      <c r="CD72" s="249"/>
      <c r="CE72" s="249"/>
      <c r="CF72" s="249"/>
      <c r="CG72" s="249"/>
      <c r="CH72" s="297">
        <f>SUM(CH26:CN26)</f>
        <v>0</v>
      </c>
      <c r="CI72" s="311"/>
      <c r="CJ72" s="249"/>
      <c r="CK72" s="249"/>
      <c r="CL72" s="249"/>
      <c r="CM72" s="249"/>
      <c r="CN72" s="249"/>
      <c r="CO72" s="297">
        <f>SUM(CO26:CU26)</f>
        <v>0</v>
      </c>
      <c r="CP72" s="311"/>
      <c r="CQ72" s="249"/>
      <c r="CR72" s="249"/>
      <c r="CS72" s="249"/>
      <c r="CT72" s="249"/>
      <c r="CU72" s="249"/>
      <c r="CV72" s="297">
        <f>SUM(CV26:DB26)</f>
        <v>0</v>
      </c>
      <c r="CW72" s="311"/>
      <c r="CX72" s="249"/>
      <c r="CY72" s="249"/>
      <c r="CZ72" s="249"/>
      <c r="DA72" s="249"/>
      <c r="DB72" s="249"/>
      <c r="DC72" s="297">
        <f>SUM(DC26:DI26)</f>
        <v>0</v>
      </c>
      <c r="DD72" s="311"/>
      <c r="DE72" s="249"/>
      <c r="DF72" s="249"/>
      <c r="DG72" s="249"/>
      <c r="DH72" s="249"/>
      <c r="DI72" s="249"/>
      <c r="DJ72" s="297">
        <f>SUM(DJ26:DP26)</f>
        <v>0</v>
      </c>
      <c r="DK72" s="311"/>
      <c r="DL72" s="249"/>
      <c r="DM72" s="249"/>
      <c r="DN72" s="249"/>
      <c r="DO72" s="249"/>
      <c r="DP72" s="249"/>
      <c r="DQ72" s="297">
        <f>SUM(DQ26:DW26)</f>
        <v>0</v>
      </c>
      <c r="DR72" s="311"/>
      <c r="DS72" s="249"/>
      <c r="DT72" s="249"/>
      <c r="DU72" s="249"/>
      <c r="DV72" s="249"/>
      <c r="DW72" s="249"/>
      <c r="DX72" s="297">
        <f>SUM(DX26:ED26)</f>
        <v>0</v>
      </c>
      <c r="DY72" s="311"/>
      <c r="DZ72" s="249"/>
      <c r="EA72" s="249"/>
      <c r="EB72" s="249"/>
      <c r="EC72" s="249"/>
      <c r="ED72" s="249"/>
      <c r="EE72" s="297">
        <f>SUM(EE26:EK26)</f>
        <v>0</v>
      </c>
      <c r="EF72" s="311"/>
      <c r="EG72" s="249"/>
      <c r="EH72" s="249"/>
      <c r="EI72" s="249"/>
      <c r="EJ72" s="249"/>
      <c r="EK72" s="249"/>
      <c r="EL72" s="297">
        <f>SUM(EL26:ER26)</f>
        <v>0</v>
      </c>
      <c r="EM72" s="311"/>
      <c r="EN72" s="249"/>
      <c r="EO72" s="249"/>
      <c r="EP72" s="249"/>
      <c r="EQ72" s="249"/>
      <c r="ER72" s="249"/>
      <c r="ES72" s="297">
        <f>SUM(ES26:EY26)</f>
        <v>0</v>
      </c>
      <c r="ET72" s="311"/>
      <c r="EU72" s="249"/>
      <c r="EV72" s="249"/>
      <c r="EW72" s="249"/>
      <c r="EX72" s="249"/>
      <c r="EY72" s="249"/>
      <c r="EZ72" s="297">
        <f>SUM(EZ26:FF26)</f>
        <v>0</v>
      </c>
      <c r="FA72" s="311"/>
      <c r="FB72" s="249"/>
      <c r="FC72" s="249"/>
      <c r="FD72" s="249"/>
      <c r="FE72" s="249"/>
      <c r="FF72" s="249"/>
      <c r="FG72" s="297">
        <f>SUM(FG26:FM26)</f>
        <v>0</v>
      </c>
      <c r="FH72" s="311"/>
      <c r="FI72" s="249"/>
      <c r="FJ72" s="249"/>
      <c r="FK72" s="249"/>
      <c r="FL72" s="249"/>
      <c r="FM72" s="249"/>
      <c r="FN72" s="297">
        <f>SUM(FN26:FT26)</f>
        <v>0</v>
      </c>
      <c r="FO72" s="311"/>
      <c r="FP72" s="249"/>
      <c r="FQ72" s="249"/>
      <c r="FR72" s="249"/>
      <c r="FS72" s="249"/>
      <c r="FT72" s="249"/>
      <c r="FU72" s="297">
        <f>SUM(FU26:GA26)</f>
        <v>0</v>
      </c>
      <c r="FV72" s="311"/>
      <c r="FW72" s="249"/>
      <c r="FX72" s="249"/>
      <c r="FY72" s="249"/>
      <c r="FZ72" s="249"/>
      <c r="GA72" s="249"/>
      <c r="GB72" s="297">
        <f>SUM(GB26:GH26)</f>
        <v>0</v>
      </c>
      <c r="GC72" s="311"/>
      <c r="GD72" s="249"/>
      <c r="GE72" s="249"/>
      <c r="GF72" s="249"/>
      <c r="GG72" s="249"/>
      <c r="GH72" s="249"/>
    </row>
    <row r="73" spans="1:190" ht="12.75">
      <c r="A73" s="310" t="s">
        <v>290</v>
      </c>
      <c r="B73" s="297">
        <f>SUM(B35:H35)</f>
        <v>38.6</v>
      </c>
      <c r="C73" s="311"/>
      <c r="D73" s="249"/>
      <c r="E73" s="249"/>
      <c r="F73" s="249"/>
      <c r="G73" s="249"/>
      <c r="H73" s="249"/>
      <c r="I73" s="297">
        <f>SUM(I35:O35)</f>
        <v>0</v>
      </c>
      <c r="J73" s="311"/>
      <c r="K73" s="249"/>
      <c r="L73" s="249"/>
      <c r="M73" s="249"/>
      <c r="N73" s="249"/>
      <c r="O73" s="249"/>
      <c r="P73" s="297">
        <f>SUM(P35:V35)</f>
        <v>0</v>
      </c>
      <c r="Q73" s="311"/>
      <c r="R73" s="249"/>
      <c r="S73" s="249"/>
      <c r="T73" s="249"/>
      <c r="U73" s="249"/>
      <c r="V73" s="249"/>
      <c r="W73" s="297">
        <f>SUM(W35:AC35)</f>
        <v>0</v>
      </c>
      <c r="X73" s="311"/>
      <c r="Y73" s="249"/>
      <c r="Z73" s="249"/>
      <c r="AA73" s="249"/>
      <c r="AB73" s="249"/>
      <c r="AC73" s="249"/>
      <c r="AD73" s="297">
        <f>SUM(AD35:AJ35)</f>
        <v>0</v>
      </c>
      <c r="AE73" s="311"/>
      <c r="AF73" s="249"/>
      <c r="AG73" s="249"/>
      <c r="AH73" s="249"/>
      <c r="AI73" s="249"/>
      <c r="AJ73" s="249"/>
      <c r="AK73" s="297">
        <f>SUM(AK35:AQ35)</f>
        <v>0</v>
      </c>
      <c r="AL73" s="311"/>
      <c r="AM73" s="249"/>
      <c r="AN73" s="249"/>
      <c r="AO73" s="249"/>
      <c r="AP73" s="249"/>
      <c r="AQ73" s="249"/>
      <c r="AR73" s="297">
        <f>SUM(AR35:AX35)</f>
        <v>0</v>
      </c>
      <c r="AS73" s="311"/>
      <c r="AT73" s="249"/>
      <c r="AU73" s="249"/>
      <c r="AV73" s="249"/>
      <c r="AW73" s="249"/>
      <c r="AX73" s="249"/>
      <c r="AY73" s="297">
        <f>SUM(AY35:BE35)</f>
        <v>0</v>
      </c>
      <c r="AZ73" s="311"/>
      <c r="BA73" s="249"/>
      <c r="BB73" s="249"/>
      <c r="BC73" s="249"/>
      <c r="BD73" s="249"/>
      <c r="BE73" s="249"/>
      <c r="BF73" s="297">
        <f>SUM(BF35:BL35)</f>
        <v>0</v>
      </c>
      <c r="BG73" s="311"/>
      <c r="BH73" s="249"/>
      <c r="BI73" s="249"/>
      <c r="BJ73" s="249"/>
      <c r="BK73" s="249"/>
      <c r="BL73" s="249"/>
      <c r="BM73" s="297">
        <f>SUM(BM35:BS35)</f>
        <v>0</v>
      </c>
      <c r="BN73" s="311"/>
      <c r="BO73" s="249"/>
      <c r="BP73" s="249"/>
      <c r="BQ73" s="249"/>
      <c r="BR73" s="249"/>
      <c r="BS73" s="249"/>
      <c r="BT73" s="297">
        <f>SUM(BT35:BZ35)</f>
        <v>0</v>
      </c>
      <c r="BU73" s="311"/>
      <c r="BV73" s="249"/>
      <c r="BW73" s="249"/>
      <c r="BX73" s="249"/>
      <c r="BY73" s="249"/>
      <c r="BZ73" s="249"/>
      <c r="CA73" s="297">
        <f>SUM(CA35:CG35)</f>
        <v>0</v>
      </c>
      <c r="CB73" s="311"/>
      <c r="CC73" s="249"/>
      <c r="CD73" s="249"/>
      <c r="CE73" s="249"/>
      <c r="CF73" s="249"/>
      <c r="CG73" s="249"/>
      <c r="CH73" s="297">
        <f>SUM(CH35:CN35)</f>
        <v>0</v>
      </c>
      <c r="CI73" s="311"/>
      <c r="CJ73" s="249"/>
      <c r="CK73" s="249"/>
      <c r="CL73" s="249"/>
      <c r="CM73" s="249"/>
      <c r="CN73" s="249"/>
      <c r="CO73" s="297">
        <f>SUM(CO35:CU35)</f>
        <v>0</v>
      </c>
      <c r="CP73" s="311"/>
      <c r="CQ73" s="249"/>
      <c r="CR73" s="249"/>
      <c r="CS73" s="249"/>
      <c r="CT73" s="249"/>
      <c r="CU73" s="249"/>
      <c r="CV73" s="297">
        <f>SUM(CV35:DB35)</f>
        <v>0</v>
      </c>
      <c r="CW73" s="311"/>
      <c r="CX73" s="249"/>
      <c r="CY73" s="249"/>
      <c r="CZ73" s="249"/>
      <c r="DA73" s="249"/>
      <c r="DB73" s="249"/>
      <c r="DC73" s="297">
        <f>SUM(DC35:DI35)</f>
        <v>0</v>
      </c>
      <c r="DD73" s="311"/>
      <c r="DE73" s="249"/>
      <c r="DF73" s="249"/>
      <c r="DG73" s="249"/>
      <c r="DH73" s="249"/>
      <c r="DI73" s="249"/>
      <c r="DJ73" s="297">
        <f>SUM(DJ35:DP35)</f>
        <v>0</v>
      </c>
      <c r="DK73" s="311"/>
      <c r="DL73" s="249"/>
      <c r="DM73" s="249"/>
      <c r="DN73" s="249"/>
      <c r="DO73" s="249"/>
      <c r="DP73" s="249"/>
      <c r="DQ73" s="297">
        <f>SUM(DQ35:DW35)</f>
        <v>0</v>
      </c>
      <c r="DR73" s="311"/>
      <c r="DS73" s="249"/>
      <c r="DT73" s="249"/>
      <c r="DU73" s="249"/>
      <c r="DV73" s="249"/>
      <c r="DW73" s="249"/>
      <c r="DX73" s="297">
        <f>SUM(DX35:ED35)</f>
        <v>0</v>
      </c>
      <c r="DY73" s="311"/>
      <c r="DZ73" s="249"/>
      <c r="EA73" s="249"/>
      <c r="EB73" s="249"/>
      <c r="EC73" s="249"/>
      <c r="ED73" s="249"/>
      <c r="EE73" s="297">
        <f>SUM(EE35:EK35)</f>
        <v>0</v>
      </c>
      <c r="EF73" s="311"/>
      <c r="EG73" s="249"/>
      <c r="EH73" s="249"/>
      <c r="EI73" s="249"/>
      <c r="EJ73" s="249"/>
      <c r="EK73" s="249"/>
      <c r="EL73" s="297">
        <f>SUM(EL35:ER35)</f>
        <v>0</v>
      </c>
      <c r="EM73" s="311"/>
      <c r="EN73" s="249"/>
      <c r="EO73" s="249"/>
      <c r="EP73" s="249"/>
      <c r="EQ73" s="249"/>
      <c r="ER73" s="249"/>
      <c r="ES73" s="297">
        <f>SUM(ES35:EY35)</f>
        <v>0</v>
      </c>
      <c r="ET73" s="311"/>
      <c r="EU73" s="249"/>
      <c r="EV73" s="249"/>
      <c r="EW73" s="249"/>
      <c r="EX73" s="249"/>
      <c r="EY73" s="249"/>
      <c r="EZ73" s="297">
        <f>SUM(EZ35:FF35)</f>
        <v>0</v>
      </c>
      <c r="FA73" s="311"/>
      <c r="FB73" s="249"/>
      <c r="FC73" s="249"/>
      <c r="FD73" s="249"/>
      <c r="FE73" s="249"/>
      <c r="FF73" s="249"/>
      <c r="FG73" s="297">
        <f>SUM(FG35:FM35)</f>
        <v>0</v>
      </c>
      <c r="FH73" s="311"/>
      <c r="FI73" s="249"/>
      <c r="FJ73" s="249"/>
      <c r="FK73" s="249"/>
      <c r="FL73" s="249"/>
      <c r="FM73" s="249"/>
      <c r="FN73" s="297">
        <f>SUM(FN35:FT35)</f>
        <v>0</v>
      </c>
      <c r="FO73" s="311"/>
      <c r="FP73" s="249"/>
      <c r="FQ73" s="249"/>
      <c r="FR73" s="249"/>
      <c r="FS73" s="249"/>
      <c r="FT73" s="249"/>
      <c r="FU73" s="297">
        <f>SUM(FU35:GA35)</f>
        <v>0</v>
      </c>
      <c r="FV73" s="311"/>
      <c r="FW73" s="249"/>
      <c r="FX73" s="249"/>
      <c r="FY73" s="249"/>
      <c r="FZ73" s="249"/>
      <c r="GA73" s="249"/>
      <c r="GB73" s="297">
        <f>SUM(GB35:GH35)</f>
        <v>0</v>
      </c>
      <c r="GC73" s="311"/>
      <c r="GD73" s="249"/>
      <c r="GE73" s="249"/>
      <c r="GF73" s="249"/>
      <c r="GG73" s="249"/>
      <c r="GH73" s="249"/>
    </row>
    <row r="74" spans="1:190" ht="12.75">
      <c r="A74" s="313" t="s">
        <v>291</v>
      </c>
      <c r="B74" s="314">
        <f>SUM(B67:B73)</f>
        <v>233.85</v>
      </c>
      <c r="C74" s="315"/>
      <c r="D74" s="249"/>
      <c r="E74" s="249"/>
      <c r="F74" s="249"/>
      <c r="G74" s="249"/>
      <c r="H74" s="249"/>
      <c r="I74" s="314">
        <f>SUM(I67:I73)</f>
        <v>0</v>
      </c>
      <c r="J74" s="315"/>
      <c r="K74" s="249"/>
      <c r="L74" s="249"/>
      <c r="M74" s="249"/>
      <c r="N74" s="249"/>
      <c r="O74" s="249"/>
      <c r="P74" s="314">
        <f>SUM(P67:P73)</f>
        <v>0</v>
      </c>
      <c r="Q74" s="315"/>
      <c r="R74" s="249"/>
      <c r="S74" s="249"/>
      <c r="T74" s="249"/>
      <c r="U74" s="249"/>
      <c r="V74" s="249"/>
      <c r="W74" s="314">
        <f>SUM(W67:W73)</f>
        <v>0</v>
      </c>
      <c r="X74" s="315"/>
      <c r="Y74" s="249"/>
      <c r="Z74" s="249"/>
      <c r="AA74" s="249"/>
      <c r="AB74" s="249"/>
      <c r="AC74" s="249"/>
      <c r="AD74" s="314">
        <f>SUM(AD67:AD73)</f>
        <v>0</v>
      </c>
      <c r="AE74" s="315"/>
      <c r="AF74" s="249"/>
      <c r="AG74" s="249"/>
      <c r="AH74" s="249"/>
      <c r="AI74" s="249"/>
      <c r="AJ74" s="249"/>
      <c r="AK74" s="314">
        <f>SUM(AK67:AK73)</f>
        <v>0</v>
      </c>
      <c r="AL74" s="315"/>
      <c r="AM74" s="249"/>
      <c r="AN74" s="249"/>
      <c r="AO74" s="249"/>
      <c r="AP74" s="249"/>
      <c r="AQ74" s="249"/>
      <c r="AR74" s="314">
        <f>SUM(AR67:AR73)</f>
        <v>0</v>
      </c>
      <c r="AS74" s="315"/>
      <c r="AT74" s="249"/>
      <c r="AU74" s="249"/>
      <c r="AV74" s="249"/>
      <c r="AW74" s="249"/>
      <c r="AX74" s="249"/>
      <c r="AY74" s="314">
        <f>SUM(AY67:AY73)</f>
        <v>0</v>
      </c>
      <c r="AZ74" s="315"/>
      <c r="BA74" s="249"/>
      <c r="BB74" s="249"/>
      <c r="BC74" s="249"/>
      <c r="BD74" s="249"/>
      <c r="BE74" s="249"/>
      <c r="BF74" s="314">
        <f>SUM(BF67:BF73)</f>
        <v>0</v>
      </c>
      <c r="BG74" s="315"/>
      <c r="BH74" s="249"/>
      <c r="BI74" s="249"/>
      <c r="BJ74" s="249"/>
      <c r="BK74" s="249"/>
      <c r="BL74" s="249"/>
      <c r="BM74" s="314">
        <f>SUM(BM67:BM73)</f>
        <v>0</v>
      </c>
      <c r="BN74" s="315"/>
      <c r="BO74" s="249"/>
      <c r="BP74" s="249"/>
      <c r="BQ74" s="249"/>
      <c r="BR74" s="249"/>
      <c r="BS74" s="249"/>
      <c r="BT74" s="314">
        <f>SUM(BT67:BT73)</f>
        <v>0</v>
      </c>
      <c r="BU74" s="315"/>
      <c r="BV74" s="249"/>
      <c r="BW74" s="249"/>
      <c r="BX74" s="249"/>
      <c r="BY74" s="249"/>
      <c r="BZ74" s="249"/>
      <c r="CA74" s="314">
        <f>SUM(CA67:CA73)</f>
        <v>0</v>
      </c>
      <c r="CB74" s="315"/>
      <c r="CC74" s="249"/>
      <c r="CD74" s="249"/>
      <c r="CE74" s="249"/>
      <c r="CF74" s="249"/>
      <c r="CG74" s="249"/>
      <c r="CH74" s="314">
        <f>SUM(CH67:CH73)</f>
        <v>0</v>
      </c>
      <c r="CI74" s="315"/>
      <c r="CJ74" s="249"/>
      <c r="CK74" s="249"/>
      <c r="CL74" s="249"/>
      <c r="CM74" s="249"/>
      <c r="CN74" s="249"/>
      <c r="CO74" s="314">
        <f>SUM(CO67:CO73)</f>
        <v>0</v>
      </c>
      <c r="CP74" s="315"/>
      <c r="CQ74" s="249"/>
      <c r="CR74" s="249"/>
      <c r="CS74" s="249"/>
      <c r="CT74" s="249"/>
      <c r="CU74" s="249"/>
      <c r="CV74" s="314">
        <f>SUM(CV67:CV73)</f>
        <v>0</v>
      </c>
      <c r="CW74" s="315"/>
      <c r="CX74" s="249"/>
      <c r="CY74" s="249"/>
      <c r="CZ74" s="249"/>
      <c r="DA74" s="249"/>
      <c r="DB74" s="249"/>
      <c r="DC74" s="314">
        <f>SUM(DC67:DC73)</f>
        <v>0</v>
      </c>
      <c r="DD74" s="315"/>
      <c r="DE74" s="249"/>
      <c r="DF74" s="249"/>
      <c r="DG74" s="249"/>
      <c r="DH74" s="249"/>
      <c r="DI74" s="249"/>
      <c r="DJ74" s="314">
        <f>SUM(DJ67:DJ73)</f>
        <v>0</v>
      </c>
      <c r="DK74" s="315"/>
      <c r="DL74" s="249"/>
      <c r="DM74" s="249"/>
      <c r="DN74" s="249"/>
      <c r="DO74" s="249"/>
      <c r="DP74" s="249"/>
      <c r="DQ74" s="314">
        <f>SUM(DQ67:DQ73)</f>
        <v>0</v>
      </c>
      <c r="DR74" s="315"/>
      <c r="DS74" s="249"/>
      <c r="DT74" s="249"/>
      <c r="DU74" s="249"/>
      <c r="DV74" s="249"/>
      <c r="DW74" s="249"/>
      <c r="DX74" s="314">
        <f>SUM(DX67:DX73)</f>
        <v>0</v>
      </c>
      <c r="DY74" s="315"/>
      <c r="DZ74" s="249"/>
      <c r="EA74" s="249"/>
      <c r="EB74" s="249"/>
      <c r="EC74" s="249"/>
      <c r="ED74" s="249"/>
      <c r="EE74" s="314">
        <f>SUM(EE67:EE73)</f>
        <v>0</v>
      </c>
      <c r="EF74" s="315"/>
      <c r="EG74" s="249"/>
      <c r="EH74" s="249"/>
      <c r="EI74" s="249"/>
      <c r="EJ74" s="249"/>
      <c r="EK74" s="249"/>
      <c r="EL74" s="314">
        <f>SUM(EL67:EL73)</f>
        <v>0</v>
      </c>
      <c r="EM74" s="315"/>
      <c r="EN74" s="249"/>
      <c r="EO74" s="249"/>
      <c r="EP74" s="249"/>
      <c r="EQ74" s="249"/>
      <c r="ER74" s="249"/>
      <c r="ES74" s="314">
        <f>SUM(ES67:ES73)</f>
        <v>0</v>
      </c>
      <c r="ET74" s="315"/>
      <c r="EU74" s="249"/>
      <c r="EV74" s="249"/>
      <c r="EW74" s="249"/>
      <c r="EX74" s="249"/>
      <c r="EY74" s="249"/>
      <c r="EZ74" s="314">
        <f>SUM(EZ67:EZ73)</f>
        <v>0</v>
      </c>
      <c r="FA74" s="315"/>
      <c r="FB74" s="249"/>
      <c r="FC74" s="249"/>
      <c r="FD74" s="249"/>
      <c r="FE74" s="249"/>
      <c r="FF74" s="249"/>
      <c r="FG74" s="314">
        <f>SUM(FG67:FG73)</f>
        <v>0</v>
      </c>
      <c r="FH74" s="315"/>
      <c r="FI74" s="249"/>
      <c r="FJ74" s="249"/>
      <c r="FK74" s="249"/>
      <c r="FL74" s="249"/>
      <c r="FM74" s="249"/>
      <c r="FN74" s="314">
        <f>SUM(FN67:FN73)</f>
        <v>0</v>
      </c>
      <c r="FO74" s="315"/>
      <c r="FP74" s="249"/>
      <c r="FQ74" s="249"/>
      <c r="FR74" s="249"/>
      <c r="FS74" s="249"/>
      <c r="FT74" s="249"/>
      <c r="FU74" s="314">
        <f>SUM(FU67:FU73)</f>
        <v>0</v>
      </c>
      <c r="FV74" s="315"/>
      <c r="FW74" s="249"/>
      <c r="FX74" s="249"/>
      <c r="FY74" s="249"/>
      <c r="FZ74" s="249"/>
      <c r="GA74" s="249"/>
      <c r="GB74" s="314">
        <f>SUM(GB67:GB73)</f>
        <v>0</v>
      </c>
      <c r="GC74" s="315"/>
      <c r="GD74" s="249"/>
      <c r="GE74" s="249"/>
      <c r="GF74" s="249"/>
      <c r="GG74" s="249"/>
      <c r="GH74" s="249"/>
    </row>
    <row r="75" spans="1:190" ht="12.75">
      <c r="A75" s="316" t="s">
        <v>292</v>
      </c>
      <c r="B75" s="249">
        <f>SUM(B8:H8)</f>
        <v>4</v>
      </c>
      <c r="C75" s="249"/>
      <c r="D75" s="249"/>
      <c r="E75" s="249"/>
      <c r="F75" s="249"/>
      <c r="G75" s="249"/>
      <c r="H75" s="249"/>
      <c r="I75" s="249">
        <f>SUM(I8:O8)</f>
        <v>0</v>
      </c>
      <c r="J75" s="249"/>
      <c r="K75" s="249"/>
      <c r="L75" s="249"/>
      <c r="M75" s="249"/>
      <c r="N75" s="249"/>
      <c r="O75" s="249"/>
      <c r="P75" s="249">
        <f>SUM(P8:V8)</f>
        <v>0</v>
      </c>
      <c r="Q75" s="249"/>
      <c r="R75" s="249"/>
      <c r="S75" s="249"/>
      <c r="T75" s="249"/>
      <c r="U75" s="249"/>
      <c r="V75" s="249"/>
      <c r="W75" s="249">
        <f>SUM(W8:AC8)</f>
        <v>0</v>
      </c>
      <c r="X75" s="249"/>
      <c r="Y75" s="249"/>
      <c r="Z75" s="249"/>
      <c r="AA75" s="249"/>
      <c r="AB75" s="249"/>
      <c r="AC75" s="249"/>
      <c r="AD75" s="249">
        <f>SUM(AD8:AJ8)</f>
        <v>0</v>
      </c>
      <c r="AE75" s="249"/>
      <c r="AF75" s="249"/>
      <c r="AG75" s="249"/>
      <c r="AH75" s="249"/>
      <c r="AI75" s="249"/>
      <c r="AJ75" s="249"/>
      <c r="AK75" s="249">
        <f>SUM(AK8:AQ8)</f>
        <v>0</v>
      </c>
      <c r="AL75" s="249"/>
      <c r="AM75" s="249"/>
      <c r="AN75" s="249"/>
      <c r="AO75" s="249"/>
      <c r="AP75" s="249"/>
      <c r="AQ75" s="249"/>
      <c r="AR75" s="249">
        <f>SUM(AR8:AX8)</f>
        <v>0</v>
      </c>
      <c r="AS75" s="249"/>
      <c r="AT75" s="249"/>
      <c r="AU75" s="249"/>
      <c r="AV75" s="249"/>
      <c r="AW75" s="249"/>
      <c r="AX75" s="249"/>
      <c r="AY75" s="249">
        <f>SUM(AY8:BE8)</f>
        <v>0</v>
      </c>
      <c r="AZ75" s="249"/>
      <c r="BA75" s="249"/>
      <c r="BB75" s="249"/>
      <c r="BC75" s="249"/>
      <c r="BD75" s="249"/>
      <c r="BE75" s="249"/>
      <c r="BF75" s="249">
        <f>SUM(BF8:BL8)</f>
        <v>0</v>
      </c>
      <c r="BG75" s="249"/>
      <c r="BH75" s="249"/>
      <c r="BI75" s="249"/>
      <c r="BJ75" s="249"/>
      <c r="BK75" s="249"/>
      <c r="BL75" s="249"/>
      <c r="BM75" s="249">
        <f>SUM(BM8:BS8)</f>
        <v>0</v>
      </c>
      <c r="BN75" s="249"/>
      <c r="BO75" s="249"/>
      <c r="BP75" s="249"/>
      <c r="BQ75" s="249"/>
      <c r="BR75" s="249"/>
      <c r="BS75" s="249"/>
      <c r="BT75" s="249">
        <f>SUM(BT8:BZ8)</f>
        <v>0</v>
      </c>
      <c r="BU75" s="249"/>
      <c r="BV75" s="249"/>
      <c r="BW75" s="249"/>
      <c r="BX75" s="249"/>
      <c r="BY75" s="249"/>
      <c r="BZ75" s="249"/>
      <c r="CA75" s="249">
        <f>SUM(CA8:CG8)</f>
        <v>0</v>
      </c>
      <c r="CB75" s="249"/>
      <c r="CC75" s="249"/>
      <c r="CD75" s="249"/>
      <c r="CE75" s="249"/>
      <c r="CF75" s="249"/>
      <c r="CG75" s="249"/>
      <c r="CH75" s="249">
        <f>SUM(CH8:CN8)</f>
        <v>0</v>
      </c>
      <c r="CI75" s="249"/>
      <c r="CJ75" s="249"/>
      <c r="CK75" s="249"/>
      <c r="CL75" s="249"/>
      <c r="CM75" s="249"/>
      <c r="CN75" s="249"/>
      <c r="CO75" s="249">
        <f>SUM(CO8:CU8)</f>
        <v>0</v>
      </c>
      <c r="CP75" s="249"/>
      <c r="CQ75" s="249"/>
      <c r="CR75" s="249"/>
      <c r="CS75" s="249"/>
      <c r="CT75" s="249"/>
      <c r="CU75" s="249"/>
      <c r="CV75" s="249">
        <f>SUM(CV8:DB8)</f>
        <v>0</v>
      </c>
      <c r="CW75" s="249"/>
      <c r="CX75" s="249"/>
      <c r="CY75" s="249"/>
      <c r="CZ75" s="249"/>
      <c r="DA75" s="249"/>
      <c r="DB75" s="249"/>
      <c r="DC75" s="249">
        <f>SUM(DC8:DI8)</f>
        <v>0</v>
      </c>
      <c r="DD75" s="249"/>
      <c r="DE75" s="249"/>
      <c r="DF75" s="249"/>
      <c r="DG75" s="249"/>
      <c r="DH75" s="249"/>
      <c r="DI75" s="249"/>
      <c r="DJ75" s="249">
        <f>SUM(DJ8:DP8)</f>
        <v>0</v>
      </c>
      <c r="DK75" s="249"/>
      <c r="DL75" s="249"/>
      <c r="DM75" s="249"/>
      <c r="DN75" s="249"/>
      <c r="DO75" s="249"/>
      <c r="DP75" s="249"/>
      <c r="DQ75" s="249">
        <f>SUM(DQ8:DW8)</f>
        <v>0</v>
      </c>
      <c r="DR75" s="249"/>
      <c r="DS75" s="249"/>
      <c r="DT75" s="249"/>
      <c r="DU75" s="249"/>
      <c r="DV75" s="249"/>
      <c r="DW75" s="249"/>
      <c r="DX75" s="249">
        <f>SUM(DX8:ED8)</f>
        <v>0</v>
      </c>
      <c r="DY75" s="249"/>
      <c r="DZ75" s="249"/>
      <c r="EA75" s="249"/>
      <c r="EB75" s="249"/>
      <c r="EC75" s="249"/>
      <c r="ED75" s="249"/>
      <c r="EE75" s="249">
        <f>SUM(EE8:EK8)</f>
        <v>0</v>
      </c>
      <c r="EF75" s="249"/>
      <c r="EG75" s="249"/>
      <c r="EH75" s="249"/>
      <c r="EI75" s="249"/>
      <c r="EJ75" s="249"/>
      <c r="EK75" s="249"/>
      <c r="EL75" s="249">
        <f>SUM(EL8:ER8)</f>
        <v>0</v>
      </c>
      <c r="EM75" s="249"/>
      <c r="EN75" s="249"/>
      <c r="EO75" s="249"/>
      <c r="EP75" s="249"/>
      <c r="EQ75" s="249"/>
      <c r="ER75" s="249"/>
      <c r="ES75" s="249">
        <f>SUM(ES8:EY8)</f>
        <v>0</v>
      </c>
      <c r="ET75" s="249"/>
      <c r="EU75" s="249"/>
      <c r="EV75" s="249"/>
      <c r="EW75" s="249"/>
      <c r="EX75" s="249"/>
      <c r="EY75" s="249"/>
      <c r="EZ75" s="249">
        <f>SUM(EZ8:FF8)</f>
        <v>0</v>
      </c>
      <c r="FA75" s="249"/>
      <c r="FB75" s="249"/>
      <c r="FC75" s="249"/>
      <c r="FD75" s="249"/>
      <c r="FE75" s="249"/>
      <c r="FF75" s="249"/>
      <c r="FG75" s="249">
        <f>SUM(FG8:FM8)</f>
        <v>0</v>
      </c>
      <c r="FH75" s="249"/>
      <c r="FI75" s="249"/>
      <c r="FJ75" s="249"/>
      <c r="FK75" s="249"/>
      <c r="FL75" s="249"/>
      <c r="FM75" s="249"/>
      <c r="FN75" s="249">
        <f>SUM(FN8:FT8)</f>
        <v>0</v>
      </c>
      <c r="FO75" s="249"/>
      <c r="FP75" s="249"/>
      <c r="FQ75" s="249"/>
      <c r="FR75" s="249"/>
      <c r="FS75" s="249"/>
      <c r="FT75" s="249"/>
      <c r="FU75" s="249">
        <f>SUM(FU8:GA8)</f>
        <v>0</v>
      </c>
      <c r="FV75" s="249"/>
      <c r="FW75" s="249"/>
      <c r="FX75" s="249"/>
      <c r="FY75" s="249"/>
      <c r="FZ75" s="249"/>
      <c r="GA75" s="249"/>
      <c r="GB75" s="249">
        <f>SUM(GB8:GH8)</f>
        <v>0</v>
      </c>
      <c r="GC75" s="249"/>
      <c r="GD75" s="249"/>
      <c r="GE75" s="249"/>
      <c r="GF75" s="249"/>
      <c r="GG75" s="249"/>
      <c r="GH75" s="249"/>
    </row>
    <row r="76" spans="1:190" ht="12.75">
      <c r="A76" s="252" t="s">
        <v>248</v>
      </c>
      <c r="B76" s="257">
        <v>28</v>
      </c>
      <c r="C76" s="257">
        <v>28</v>
      </c>
      <c r="D76" s="257">
        <v>28</v>
      </c>
      <c r="E76" s="257">
        <v>28</v>
      </c>
      <c r="F76" s="257">
        <v>28</v>
      </c>
      <c r="G76" s="257">
        <v>28</v>
      </c>
      <c r="H76" s="257">
        <v>28</v>
      </c>
      <c r="I76" s="257">
        <v>29</v>
      </c>
      <c r="J76" s="257">
        <v>29</v>
      </c>
      <c r="K76" s="257">
        <v>29</v>
      </c>
      <c r="L76" s="257">
        <v>29</v>
      </c>
      <c r="M76" s="257">
        <v>29</v>
      </c>
      <c r="N76" s="257">
        <v>29</v>
      </c>
      <c r="O76" s="257">
        <v>29</v>
      </c>
      <c r="P76" s="257">
        <v>30</v>
      </c>
      <c r="Q76" s="257">
        <v>30</v>
      </c>
      <c r="R76" s="257">
        <v>30</v>
      </c>
      <c r="S76" s="257">
        <v>30</v>
      </c>
      <c r="T76" s="257">
        <v>30</v>
      </c>
      <c r="U76" s="257">
        <v>30</v>
      </c>
      <c r="V76" s="257">
        <v>30</v>
      </c>
      <c r="W76" s="257">
        <v>31</v>
      </c>
      <c r="X76" s="257">
        <v>31</v>
      </c>
      <c r="Y76" s="257">
        <v>31</v>
      </c>
      <c r="Z76" s="257">
        <v>31</v>
      </c>
      <c r="AA76" s="257">
        <v>31</v>
      </c>
      <c r="AB76" s="257">
        <v>31</v>
      </c>
      <c r="AC76" s="257">
        <v>31</v>
      </c>
      <c r="AD76" s="257">
        <v>32</v>
      </c>
      <c r="AE76" s="257">
        <v>32</v>
      </c>
      <c r="AF76" s="257">
        <v>32</v>
      </c>
      <c r="AG76" s="257">
        <v>32</v>
      </c>
      <c r="AH76" s="257">
        <v>32</v>
      </c>
      <c r="AI76" s="257">
        <v>32</v>
      </c>
      <c r="AJ76" s="257">
        <v>32</v>
      </c>
      <c r="AK76" s="257">
        <v>33</v>
      </c>
      <c r="AL76" s="257">
        <v>33</v>
      </c>
      <c r="AM76" s="257">
        <v>33</v>
      </c>
      <c r="AN76" s="257">
        <v>33</v>
      </c>
      <c r="AO76" s="257">
        <v>33</v>
      </c>
      <c r="AP76" s="257">
        <v>33</v>
      </c>
      <c r="AQ76" s="257">
        <v>33</v>
      </c>
      <c r="AR76" s="257">
        <v>34</v>
      </c>
      <c r="AS76" s="257">
        <v>34</v>
      </c>
      <c r="AT76" s="257">
        <v>34</v>
      </c>
      <c r="AU76" s="257">
        <v>34</v>
      </c>
      <c r="AV76" s="257">
        <v>34</v>
      </c>
      <c r="AW76" s="257">
        <v>34</v>
      </c>
      <c r="AX76" s="257">
        <v>34</v>
      </c>
      <c r="AY76" s="257">
        <v>35</v>
      </c>
      <c r="AZ76" s="257">
        <v>35</v>
      </c>
      <c r="BA76" s="257">
        <v>35</v>
      </c>
      <c r="BB76" s="257">
        <v>35</v>
      </c>
      <c r="BC76" s="257">
        <v>35</v>
      </c>
      <c r="BD76" s="257">
        <v>35</v>
      </c>
      <c r="BE76" s="257">
        <v>35</v>
      </c>
      <c r="BF76" s="257">
        <v>36</v>
      </c>
      <c r="BG76" s="257">
        <v>36</v>
      </c>
      <c r="BH76" s="257">
        <v>36</v>
      </c>
      <c r="BI76" s="257">
        <v>36</v>
      </c>
      <c r="BJ76" s="257">
        <v>36</v>
      </c>
      <c r="BK76" s="257">
        <v>36</v>
      </c>
      <c r="BL76" s="257">
        <v>36</v>
      </c>
      <c r="BM76" s="257">
        <v>37</v>
      </c>
      <c r="BN76" s="257">
        <v>37</v>
      </c>
      <c r="BO76" s="257">
        <v>37</v>
      </c>
      <c r="BP76" s="257">
        <v>37</v>
      </c>
      <c r="BQ76" s="257">
        <v>37</v>
      </c>
      <c r="BR76" s="257">
        <v>37</v>
      </c>
      <c r="BS76" s="257">
        <v>37</v>
      </c>
      <c r="BT76" s="257">
        <v>38</v>
      </c>
      <c r="BU76" s="257">
        <v>38</v>
      </c>
      <c r="BV76" s="257">
        <v>38</v>
      </c>
      <c r="BW76" s="257">
        <v>38</v>
      </c>
      <c r="BX76" s="257">
        <v>38</v>
      </c>
      <c r="BY76" s="257">
        <v>38</v>
      </c>
      <c r="BZ76" s="257">
        <v>38</v>
      </c>
      <c r="CA76" s="257">
        <v>39</v>
      </c>
      <c r="CB76" s="257">
        <v>39</v>
      </c>
      <c r="CC76" s="257">
        <v>39</v>
      </c>
      <c r="CD76" s="257">
        <v>39</v>
      </c>
      <c r="CE76" s="257">
        <v>39</v>
      </c>
      <c r="CF76" s="257">
        <v>39</v>
      </c>
      <c r="CG76" s="257">
        <v>39</v>
      </c>
      <c r="CH76" s="257">
        <v>40</v>
      </c>
      <c r="CI76" s="257">
        <v>40</v>
      </c>
      <c r="CJ76" s="257">
        <v>40</v>
      </c>
      <c r="CK76" s="257">
        <v>40</v>
      </c>
      <c r="CL76" s="257">
        <v>40</v>
      </c>
      <c r="CM76" s="257">
        <v>40</v>
      </c>
      <c r="CN76" s="257">
        <v>40</v>
      </c>
      <c r="CO76" s="257">
        <v>41</v>
      </c>
      <c r="CP76" s="257">
        <v>41</v>
      </c>
      <c r="CQ76" s="257">
        <v>41</v>
      </c>
      <c r="CR76" s="257">
        <v>41</v>
      </c>
      <c r="CS76" s="257">
        <v>41</v>
      </c>
      <c r="CT76" s="257">
        <v>41</v>
      </c>
      <c r="CU76" s="257">
        <v>41</v>
      </c>
      <c r="CV76" s="257">
        <v>42</v>
      </c>
      <c r="CW76" s="257">
        <v>42</v>
      </c>
      <c r="CX76" s="257">
        <v>42</v>
      </c>
      <c r="CY76" s="257">
        <v>42</v>
      </c>
      <c r="CZ76" s="257">
        <v>42</v>
      </c>
      <c r="DA76" s="257">
        <v>42</v>
      </c>
      <c r="DB76" s="257">
        <v>42</v>
      </c>
      <c r="DC76" s="257">
        <v>43</v>
      </c>
      <c r="DD76" s="257">
        <v>43</v>
      </c>
      <c r="DE76" s="257">
        <v>43</v>
      </c>
      <c r="DF76" s="257">
        <v>43</v>
      </c>
      <c r="DG76" s="257">
        <v>43</v>
      </c>
      <c r="DH76" s="257">
        <v>43</v>
      </c>
      <c r="DI76" s="257">
        <v>43</v>
      </c>
      <c r="DJ76" s="257">
        <v>44</v>
      </c>
      <c r="DK76" s="257">
        <v>44</v>
      </c>
      <c r="DL76" s="257">
        <v>44</v>
      </c>
      <c r="DM76" s="257">
        <v>44</v>
      </c>
      <c r="DN76" s="257">
        <v>44</v>
      </c>
      <c r="DO76" s="257">
        <v>44</v>
      </c>
      <c r="DP76" s="257">
        <v>44</v>
      </c>
      <c r="DQ76" s="257">
        <v>45</v>
      </c>
      <c r="DR76" s="257">
        <v>45</v>
      </c>
      <c r="DS76" s="257">
        <v>45</v>
      </c>
      <c r="DT76" s="257">
        <v>45</v>
      </c>
      <c r="DU76" s="257">
        <v>45</v>
      </c>
      <c r="DV76" s="257">
        <v>45</v>
      </c>
      <c r="DW76" s="257">
        <v>45</v>
      </c>
      <c r="DX76" s="257">
        <v>46</v>
      </c>
      <c r="DY76" s="257">
        <v>46</v>
      </c>
      <c r="DZ76" s="257">
        <v>46</v>
      </c>
      <c r="EA76" s="257">
        <v>46</v>
      </c>
      <c r="EB76" s="257">
        <v>46</v>
      </c>
      <c r="EC76" s="257">
        <v>46</v>
      </c>
      <c r="ED76" s="257">
        <v>46</v>
      </c>
      <c r="EE76" s="257">
        <v>47</v>
      </c>
      <c r="EF76" s="257">
        <v>47</v>
      </c>
      <c r="EG76" s="257">
        <v>47</v>
      </c>
      <c r="EH76" s="257">
        <v>47</v>
      </c>
      <c r="EI76" s="257">
        <v>47</v>
      </c>
      <c r="EJ76" s="257">
        <v>47</v>
      </c>
      <c r="EK76" s="257">
        <v>47</v>
      </c>
      <c r="EL76" s="257">
        <v>48</v>
      </c>
      <c r="EM76" s="257">
        <v>48</v>
      </c>
      <c r="EN76" s="257">
        <v>48</v>
      </c>
      <c r="EO76" s="257">
        <v>48</v>
      </c>
      <c r="EP76" s="257">
        <v>48</v>
      </c>
      <c r="EQ76" s="257">
        <v>48</v>
      </c>
      <c r="ER76" s="257">
        <v>48</v>
      </c>
      <c r="ES76" s="257">
        <v>49</v>
      </c>
      <c r="ET76" s="257">
        <v>49</v>
      </c>
      <c r="EU76" s="257">
        <v>49</v>
      </c>
      <c r="EV76" s="257">
        <v>49</v>
      </c>
      <c r="EW76" s="257">
        <v>49</v>
      </c>
      <c r="EX76" s="257">
        <v>49</v>
      </c>
      <c r="EY76" s="257">
        <v>49</v>
      </c>
      <c r="EZ76" s="257">
        <v>50</v>
      </c>
      <c r="FA76" s="257">
        <v>50</v>
      </c>
      <c r="FB76" s="257">
        <v>50</v>
      </c>
      <c r="FC76" s="257">
        <v>50</v>
      </c>
      <c r="FD76" s="257">
        <v>50</v>
      </c>
      <c r="FE76" s="257">
        <v>50</v>
      </c>
      <c r="FF76" s="257">
        <v>50</v>
      </c>
      <c r="FG76" s="257">
        <v>51</v>
      </c>
      <c r="FH76" s="257">
        <v>51</v>
      </c>
      <c r="FI76" s="257">
        <v>51</v>
      </c>
      <c r="FJ76" s="257">
        <v>51</v>
      </c>
      <c r="FK76" s="257">
        <v>51</v>
      </c>
      <c r="FL76" s="257">
        <v>51</v>
      </c>
      <c r="FM76" s="257">
        <v>51</v>
      </c>
      <c r="FN76" s="257">
        <v>52</v>
      </c>
      <c r="FO76" s="257">
        <v>52</v>
      </c>
      <c r="FP76" s="257">
        <v>52</v>
      </c>
      <c r="FQ76" s="257">
        <v>52</v>
      </c>
      <c r="FR76" s="257">
        <v>52</v>
      </c>
      <c r="FS76" s="257">
        <v>52</v>
      </c>
      <c r="FT76" s="257">
        <v>52</v>
      </c>
      <c r="FU76" s="257">
        <v>53</v>
      </c>
      <c r="FV76" s="257">
        <v>53</v>
      </c>
      <c r="FW76" s="257">
        <v>53</v>
      </c>
      <c r="FX76" s="257">
        <v>53</v>
      </c>
      <c r="FY76" s="257">
        <v>53</v>
      </c>
      <c r="FZ76" s="257">
        <v>53</v>
      </c>
      <c r="GA76" s="257">
        <v>53</v>
      </c>
      <c r="GB76" s="249"/>
      <c r="GC76" s="249"/>
      <c r="GD76" s="249"/>
      <c r="GE76" s="249"/>
      <c r="GF76" s="249"/>
      <c r="GG76" s="249"/>
      <c r="GH76" s="249"/>
    </row>
    <row r="77" spans="1:190" ht="12.75">
      <c r="A77" s="252" t="s">
        <v>107</v>
      </c>
      <c r="B77" s="257">
        <v>190</v>
      </c>
      <c r="C77" s="257">
        <v>191</v>
      </c>
      <c r="D77" s="257">
        <v>192</v>
      </c>
      <c r="E77" s="257">
        <v>193</v>
      </c>
      <c r="F77" s="257">
        <v>194</v>
      </c>
      <c r="G77" s="257">
        <v>195</v>
      </c>
      <c r="H77" s="257">
        <v>196</v>
      </c>
      <c r="I77" s="257">
        <v>197</v>
      </c>
      <c r="J77" s="257">
        <v>198</v>
      </c>
      <c r="K77" s="257">
        <v>199</v>
      </c>
      <c r="L77" s="257">
        <v>200</v>
      </c>
      <c r="M77" s="257">
        <v>201</v>
      </c>
      <c r="N77" s="257">
        <v>202</v>
      </c>
      <c r="O77" s="257">
        <v>203</v>
      </c>
      <c r="P77" s="257">
        <v>204</v>
      </c>
      <c r="Q77" s="257">
        <v>205</v>
      </c>
      <c r="R77" s="257">
        <v>206</v>
      </c>
      <c r="S77" s="257">
        <v>207</v>
      </c>
      <c r="T77" s="257">
        <v>208</v>
      </c>
      <c r="U77" s="257">
        <v>209</v>
      </c>
      <c r="V77" s="257">
        <v>210</v>
      </c>
      <c r="W77" s="257">
        <v>211</v>
      </c>
      <c r="X77" s="257">
        <v>212</v>
      </c>
      <c r="Y77" s="257">
        <v>213</v>
      </c>
      <c r="Z77" s="257">
        <v>214</v>
      </c>
      <c r="AA77" s="257">
        <v>215</v>
      </c>
      <c r="AB77" s="257">
        <v>216</v>
      </c>
      <c r="AC77" s="257">
        <v>217</v>
      </c>
      <c r="AD77" s="257">
        <v>218</v>
      </c>
      <c r="AE77" s="257">
        <v>219</v>
      </c>
      <c r="AF77" s="257">
        <v>220</v>
      </c>
      <c r="AG77" s="257">
        <v>221</v>
      </c>
      <c r="AH77" s="257">
        <v>222</v>
      </c>
      <c r="AI77" s="257">
        <v>223</v>
      </c>
      <c r="AJ77" s="257">
        <v>224</v>
      </c>
      <c r="AK77" s="257">
        <v>225</v>
      </c>
      <c r="AL77" s="257">
        <v>226</v>
      </c>
      <c r="AM77" s="257">
        <v>227</v>
      </c>
      <c r="AN77" s="257">
        <v>228</v>
      </c>
      <c r="AO77" s="257">
        <v>229</v>
      </c>
      <c r="AP77" s="257">
        <v>230</v>
      </c>
      <c r="AQ77" s="257">
        <v>231</v>
      </c>
      <c r="AR77" s="257">
        <v>232</v>
      </c>
      <c r="AS77" s="257">
        <v>233</v>
      </c>
      <c r="AT77" s="257">
        <v>234</v>
      </c>
      <c r="AU77" s="257">
        <v>235</v>
      </c>
      <c r="AV77" s="257">
        <v>236</v>
      </c>
      <c r="AW77" s="257">
        <v>237</v>
      </c>
      <c r="AX77" s="257">
        <v>238</v>
      </c>
      <c r="AY77" s="257">
        <v>239</v>
      </c>
      <c r="AZ77" s="257">
        <v>240</v>
      </c>
      <c r="BA77" s="257">
        <v>241</v>
      </c>
      <c r="BB77" s="257">
        <v>242</v>
      </c>
      <c r="BC77" s="257">
        <v>243</v>
      </c>
      <c r="BD77" s="257">
        <v>244</v>
      </c>
      <c r="BE77" s="257">
        <v>245</v>
      </c>
      <c r="BF77" s="257">
        <v>246</v>
      </c>
      <c r="BG77" s="257">
        <v>247</v>
      </c>
      <c r="BH77" s="257">
        <v>248</v>
      </c>
      <c r="BI77" s="257">
        <v>249</v>
      </c>
      <c r="BJ77" s="257">
        <v>250</v>
      </c>
      <c r="BK77" s="257">
        <v>251</v>
      </c>
      <c r="BL77" s="257">
        <v>252</v>
      </c>
      <c r="BM77" s="257">
        <v>253</v>
      </c>
      <c r="BN77" s="257">
        <v>254</v>
      </c>
      <c r="BO77" s="257">
        <v>255</v>
      </c>
      <c r="BP77" s="257">
        <v>256</v>
      </c>
      <c r="BQ77" s="257">
        <v>257</v>
      </c>
      <c r="BR77" s="257">
        <v>258</v>
      </c>
      <c r="BS77" s="257">
        <v>259</v>
      </c>
      <c r="BT77" s="257">
        <v>260</v>
      </c>
      <c r="BU77" s="257">
        <v>261</v>
      </c>
      <c r="BV77" s="257">
        <v>262</v>
      </c>
      <c r="BW77" s="257">
        <v>263</v>
      </c>
      <c r="BX77" s="257">
        <v>264</v>
      </c>
      <c r="BY77" s="257">
        <v>265</v>
      </c>
      <c r="BZ77" s="257">
        <v>266</v>
      </c>
      <c r="CA77" s="257">
        <v>267</v>
      </c>
      <c r="CB77" s="257">
        <v>268</v>
      </c>
      <c r="CC77" s="257">
        <v>269</v>
      </c>
      <c r="CD77" s="257">
        <v>270</v>
      </c>
      <c r="CE77" s="257">
        <v>271</v>
      </c>
      <c r="CF77" s="257">
        <v>272</v>
      </c>
      <c r="CG77" s="257">
        <v>273</v>
      </c>
      <c r="CH77" s="257">
        <v>274</v>
      </c>
      <c r="CI77" s="257">
        <v>275</v>
      </c>
      <c r="CJ77" s="257">
        <v>276</v>
      </c>
      <c r="CK77" s="257">
        <v>277</v>
      </c>
      <c r="CL77" s="257">
        <v>278</v>
      </c>
      <c r="CM77" s="257">
        <v>279</v>
      </c>
      <c r="CN77" s="257">
        <v>280</v>
      </c>
      <c r="CO77" s="257">
        <v>281</v>
      </c>
      <c r="CP77" s="257">
        <v>282</v>
      </c>
      <c r="CQ77" s="257">
        <v>283</v>
      </c>
      <c r="CR77" s="257">
        <v>284</v>
      </c>
      <c r="CS77" s="257">
        <v>285</v>
      </c>
      <c r="CT77" s="257">
        <v>286</v>
      </c>
      <c r="CU77" s="257">
        <v>287</v>
      </c>
      <c r="CV77" s="257">
        <v>288</v>
      </c>
      <c r="CW77" s="257">
        <v>289</v>
      </c>
      <c r="CX77" s="257">
        <v>290</v>
      </c>
      <c r="CY77" s="257">
        <v>291</v>
      </c>
      <c r="CZ77" s="257">
        <v>292</v>
      </c>
      <c r="DA77" s="257">
        <v>293</v>
      </c>
      <c r="DB77" s="257">
        <v>294</v>
      </c>
      <c r="DC77" s="257">
        <v>295</v>
      </c>
      <c r="DD77" s="257">
        <v>296</v>
      </c>
      <c r="DE77" s="257">
        <v>297</v>
      </c>
      <c r="DF77" s="257">
        <v>298</v>
      </c>
      <c r="DG77" s="257">
        <v>299</v>
      </c>
      <c r="DH77" s="257">
        <v>300</v>
      </c>
      <c r="DI77" s="257">
        <v>301</v>
      </c>
      <c r="DJ77" s="257">
        <v>302</v>
      </c>
      <c r="DK77" s="257">
        <v>303</v>
      </c>
      <c r="DL77" s="257">
        <v>304</v>
      </c>
      <c r="DM77" s="257">
        <v>305</v>
      </c>
      <c r="DN77" s="257">
        <v>306</v>
      </c>
      <c r="DO77" s="257">
        <v>307</v>
      </c>
      <c r="DP77" s="257">
        <v>308</v>
      </c>
      <c r="DQ77" s="257">
        <v>309</v>
      </c>
      <c r="DR77" s="257">
        <v>310</v>
      </c>
      <c r="DS77" s="257">
        <v>311</v>
      </c>
      <c r="DT77" s="257">
        <v>312</v>
      </c>
      <c r="DU77" s="257">
        <v>313</v>
      </c>
      <c r="DV77" s="257">
        <v>314</v>
      </c>
      <c r="DW77" s="257">
        <v>315</v>
      </c>
      <c r="DX77" s="257">
        <v>316</v>
      </c>
      <c r="DY77" s="257">
        <v>317</v>
      </c>
      <c r="DZ77" s="257">
        <v>318</v>
      </c>
      <c r="EA77" s="257">
        <v>319</v>
      </c>
      <c r="EB77" s="257">
        <v>320</v>
      </c>
      <c r="EC77" s="257">
        <v>321</v>
      </c>
      <c r="ED77" s="257">
        <v>322</v>
      </c>
      <c r="EE77" s="257">
        <v>323</v>
      </c>
      <c r="EF77" s="257">
        <v>324</v>
      </c>
      <c r="EG77" s="257">
        <v>325</v>
      </c>
      <c r="EH77" s="257">
        <v>326</v>
      </c>
      <c r="EI77" s="257">
        <v>327</v>
      </c>
      <c r="EJ77" s="257">
        <v>328</v>
      </c>
      <c r="EK77" s="257">
        <v>329</v>
      </c>
      <c r="EL77" s="257">
        <v>330</v>
      </c>
      <c r="EM77" s="257">
        <v>331</v>
      </c>
      <c r="EN77" s="257">
        <v>332</v>
      </c>
      <c r="EO77" s="257">
        <v>333</v>
      </c>
      <c r="EP77" s="257">
        <v>334</v>
      </c>
      <c r="EQ77" s="257">
        <v>335</v>
      </c>
      <c r="ER77" s="257">
        <v>336</v>
      </c>
      <c r="ES77" s="257">
        <v>337</v>
      </c>
      <c r="ET77" s="257">
        <v>338</v>
      </c>
      <c r="EU77" s="257">
        <v>339</v>
      </c>
      <c r="EV77" s="257">
        <v>340</v>
      </c>
      <c r="EW77" s="257">
        <v>341</v>
      </c>
      <c r="EX77" s="257">
        <v>342</v>
      </c>
      <c r="EY77" s="257">
        <v>343</v>
      </c>
      <c r="EZ77" s="257">
        <v>344</v>
      </c>
      <c r="FA77" s="257">
        <v>345</v>
      </c>
      <c r="FB77" s="257">
        <v>346</v>
      </c>
      <c r="FC77" s="257">
        <v>347</v>
      </c>
      <c r="FD77" s="257">
        <v>348</v>
      </c>
      <c r="FE77" s="257">
        <v>349</v>
      </c>
      <c r="FF77" s="257">
        <v>350</v>
      </c>
      <c r="FG77" s="257">
        <v>351</v>
      </c>
      <c r="FH77" s="257">
        <v>352</v>
      </c>
      <c r="FI77" s="257">
        <v>353</v>
      </c>
      <c r="FJ77" s="257">
        <v>354</v>
      </c>
      <c r="FK77" s="257">
        <v>355</v>
      </c>
      <c r="FL77" s="257">
        <v>356</v>
      </c>
      <c r="FM77" s="257">
        <v>357</v>
      </c>
      <c r="FN77" s="257">
        <v>358</v>
      </c>
      <c r="FO77" s="257">
        <v>359</v>
      </c>
      <c r="FP77" s="257">
        <v>360</v>
      </c>
      <c r="FQ77" s="257">
        <v>361</v>
      </c>
      <c r="FR77" s="257">
        <v>362</v>
      </c>
      <c r="FS77" s="257">
        <v>363</v>
      </c>
      <c r="FT77" s="257">
        <v>364</v>
      </c>
      <c r="FU77" s="257">
        <v>365</v>
      </c>
      <c r="FV77" s="257">
        <v>366</v>
      </c>
      <c r="FW77" s="257">
        <v>367</v>
      </c>
      <c r="FX77" s="257">
        <v>368</v>
      </c>
      <c r="FY77" s="257">
        <v>369</v>
      </c>
      <c r="FZ77" s="257">
        <v>370</v>
      </c>
      <c r="GA77" s="257">
        <v>371</v>
      </c>
      <c r="GB77" s="249"/>
      <c r="GC77" s="249"/>
      <c r="GD77" s="249"/>
      <c r="GE77" s="249"/>
      <c r="GF77" s="249"/>
      <c r="GG77" s="249"/>
      <c r="GH77" s="249"/>
    </row>
    <row r="78" spans="1:190" ht="12.75">
      <c r="A78" s="252" t="s">
        <v>249</v>
      </c>
      <c r="B78" s="259">
        <f>GH6+1</f>
        <v>44326</v>
      </c>
      <c r="C78" s="259">
        <f aca="true" t="shared" si="122" ref="C78:AH78">B78+1</f>
        <v>44327</v>
      </c>
      <c r="D78" s="259">
        <f t="shared" si="122"/>
        <v>44328</v>
      </c>
      <c r="E78" s="259">
        <f t="shared" si="122"/>
        <v>44329</v>
      </c>
      <c r="F78" s="259">
        <f t="shared" si="122"/>
        <v>44330</v>
      </c>
      <c r="G78" s="259">
        <f t="shared" si="122"/>
        <v>44331</v>
      </c>
      <c r="H78" s="259">
        <f t="shared" si="122"/>
        <v>44332</v>
      </c>
      <c r="I78" s="259">
        <f t="shared" si="122"/>
        <v>44333</v>
      </c>
      <c r="J78" s="259">
        <f t="shared" si="122"/>
        <v>44334</v>
      </c>
      <c r="K78" s="259">
        <f t="shared" si="122"/>
        <v>44335</v>
      </c>
      <c r="L78" s="259">
        <f t="shared" si="122"/>
        <v>44336</v>
      </c>
      <c r="M78" s="259">
        <f t="shared" si="122"/>
        <v>44337</v>
      </c>
      <c r="N78" s="259">
        <f t="shared" si="122"/>
        <v>44338</v>
      </c>
      <c r="O78" s="259">
        <f t="shared" si="122"/>
        <v>44339</v>
      </c>
      <c r="P78" s="259">
        <f t="shared" si="122"/>
        <v>44340</v>
      </c>
      <c r="Q78" s="259">
        <f t="shared" si="122"/>
        <v>44341</v>
      </c>
      <c r="R78" s="259">
        <f t="shared" si="122"/>
        <v>44342</v>
      </c>
      <c r="S78" s="259">
        <f t="shared" si="122"/>
        <v>44343</v>
      </c>
      <c r="T78" s="259">
        <f t="shared" si="122"/>
        <v>44344</v>
      </c>
      <c r="U78" s="259">
        <f t="shared" si="122"/>
        <v>44345</v>
      </c>
      <c r="V78" s="259">
        <f t="shared" si="122"/>
        <v>44346</v>
      </c>
      <c r="W78" s="259">
        <f t="shared" si="122"/>
        <v>44347</v>
      </c>
      <c r="X78" s="259">
        <f t="shared" si="122"/>
        <v>44348</v>
      </c>
      <c r="Y78" s="259">
        <f t="shared" si="122"/>
        <v>44349</v>
      </c>
      <c r="Z78" s="259">
        <f t="shared" si="122"/>
        <v>44350</v>
      </c>
      <c r="AA78" s="259">
        <f t="shared" si="122"/>
        <v>44351</v>
      </c>
      <c r="AB78" s="259">
        <f t="shared" si="122"/>
        <v>44352</v>
      </c>
      <c r="AC78" s="259">
        <f t="shared" si="122"/>
        <v>44353</v>
      </c>
      <c r="AD78" s="259">
        <f t="shared" si="122"/>
        <v>44354</v>
      </c>
      <c r="AE78" s="259">
        <f t="shared" si="122"/>
        <v>44355</v>
      </c>
      <c r="AF78" s="259">
        <f t="shared" si="122"/>
        <v>44356</v>
      </c>
      <c r="AG78" s="259">
        <f t="shared" si="122"/>
        <v>44357</v>
      </c>
      <c r="AH78" s="259">
        <f t="shared" si="122"/>
        <v>44358</v>
      </c>
      <c r="AI78" s="259">
        <f aca="true" t="shared" si="123" ref="AI78:BN78">AH78+1</f>
        <v>44359</v>
      </c>
      <c r="AJ78" s="259">
        <f t="shared" si="123"/>
        <v>44360</v>
      </c>
      <c r="AK78" s="259">
        <f t="shared" si="123"/>
        <v>44361</v>
      </c>
      <c r="AL78" s="259">
        <f t="shared" si="123"/>
        <v>44362</v>
      </c>
      <c r="AM78" s="259">
        <f t="shared" si="123"/>
        <v>44363</v>
      </c>
      <c r="AN78" s="259">
        <f t="shared" si="123"/>
        <v>44364</v>
      </c>
      <c r="AO78" s="259">
        <f t="shared" si="123"/>
        <v>44365</v>
      </c>
      <c r="AP78" s="259">
        <f t="shared" si="123"/>
        <v>44366</v>
      </c>
      <c r="AQ78" s="259">
        <f t="shared" si="123"/>
        <v>44367</v>
      </c>
      <c r="AR78" s="259">
        <f t="shared" si="123"/>
        <v>44368</v>
      </c>
      <c r="AS78" s="259">
        <f t="shared" si="123"/>
        <v>44369</v>
      </c>
      <c r="AT78" s="259">
        <f t="shared" si="123"/>
        <v>44370</v>
      </c>
      <c r="AU78" s="259">
        <f t="shared" si="123"/>
        <v>44371</v>
      </c>
      <c r="AV78" s="259">
        <f t="shared" si="123"/>
        <v>44372</v>
      </c>
      <c r="AW78" s="259">
        <f t="shared" si="123"/>
        <v>44373</v>
      </c>
      <c r="AX78" s="259">
        <f t="shared" si="123"/>
        <v>44374</v>
      </c>
      <c r="AY78" s="259">
        <f t="shared" si="123"/>
        <v>44375</v>
      </c>
      <c r="AZ78" s="259">
        <f t="shared" si="123"/>
        <v>44376</v>
      </c>
      <c r="BA78" s="259">
        <f t="shared" si="123"/>
        <v>44377</v>
      </c>
      <c r="BB78" s="259">
        <f t="shared" si="123"/>
        <v>44378</v>
      </c>
      <c r="BC78" s="259">
        <f t="shared" si="123"/>
        <v>44379</v>
      </c>
      <c r="BD78" s="259">
        <f t="shared" si="123"/>
        <v>44380</v>
      </c>
      <c r="BE78" s="259">
        <f t="shared" si="123"/>
        <v>44381</v>
      </c>
      <c r="BF78" s="259">
        <f t="shared" si="123"/>
        <v>44382</v>
      </c>
      <c r="BG78" s="259">
        <f t="shared" si="123"/>
        <v>44383</v>
      </c>
      <c r="BH78" s="259">
        <f t="shared" si="123"/>
        <v>44384</v>
      </c>
      <c r="BI78" s="259">
        <f t="shared" si="123"/>
        <v>44385</v>
      </c>
      <c r="BJ78" s="259">
        <f t="shared" si="123"/>
        <v>44386</v>
      </c>
      <c r="BK78" s="259">
        <f t="shared" si="123"/>
        <v>44387</v>
      </c>
      <c r="BL78" s="259">
        <f t="shared" si="123"/>
        <v>44388</v>
      </c>
      <c r="BM78" s="259">
        <f t="shared" si="123"/>
        <v>44389</v>
      </c>
      <c r="BN78" s="259">
        <f t="shared" si="123"/>
        <v>44390</v>
      </c>
      <c r="BO78" s="259">
        <f aca="true" t="shared" si="124" ref="BO78:CT78">BN78+1</f>
        <v>44391</v>
      </c>
      <c r="BP78" s="259">
        <f t="shared" si="124"/>
        <v>44392</v>
      </c>
      <c r="BQ78" s="259">
        <f t="shared" si="124"/>
        <v>44393</v>
      </c>
      <c r="BR78" s="259">
        <f t="shared" si="124"/>
        <v>44394</v>
      </c>
      <c r="BS78" s="259">
        <f t="shared" si="124"/>
        <v>44395</v>
      </c>
      <c r="BT78" s="259">
        <f t="shared" si="124"/>
        <v>44396</v>
      </c>
      <c r="BU78" s="259">
        <f t="shared" si="124"/>
        <v>44397</v>
      </c>
      <c r="BV78" s="259">
        <f t="shared" si="124"/>
        <v>44398</v>
      </c>
      <c r="BW78" s="259">
        <f t="shared" si="124"/>
        <v>44399</v>
      </c>
      <c r="BX78" s="259">
        <f t="shared" si="124"/>
        <v>44400</v>
      </c>
      <c r="BY78" s="259">
        <f t="shared" si="124"/>
        <v>44401</v>
      </c>
      <c r="BZ78" s="259">
        <f t="shared" si="124"/>
        <v>44402</v>
      </c>
      <c r="CA78" s="259">
        <f t="shared" si="124"/>
        <v>44403</v>
      </c>
      <c r="CB78" s="259">
        <f t="shared" si="124"/>
        <v>44404</v>
      </c>
      <c r="CC78" s="259">
        <f t="shared" si="124"/>
        <v>44405</v>
      </c>
      <c r="CD78" s="259">
        <f t="shared" si="124"/>
        <v>44406</v>
      </c>
      <c r="CE78" s="259">
        <f t="shared" si="124"/>
        <v>44407</v>
      </c>
      <c r="CF78" s="259">
        <f t="shared" si="124"/>
        <v>44408</v>
      </c>
      <c r="CG78" s="259">
        <f t="shared" si="124"/>
        <v>44409</v>
      </c>
      <c r="CH78" s="259">
        <f t="shared" si="124"/>
        <v>44410</v>
      </c>
      <c r="CI78" s="259">
        <f t="shared" si="124"/>
        <v>44411</v>
      </c>
      <c r="CJ78" s="259">
        <f t="shared" si="124"/>
        <v>44412</v>
      </c>
      <c r="CK78" s="259">
        <f t="shared" si="124"/>
        <v>44413</v>
      </c>
      <c r="CL78" s="259">
        <f t="shared" si="124"/>
        <v>44414</v>
      </c>
      <c r="CM78" s="259">
        <f t="shared" si="124"/>
        <v>44415</v>
      </c>
      <c r="CN78" s="259">
        <f t="shared" si="124"/>
        <v>44416</v>
      </c>
      <c r="CO78" s="259">
        <f t="shared" si="124"/>
        <v>44417</v>
      </c>
      <c r="CP78" s="259">
        <f t="shared" si="124"/>
        <v>44418</v>
      </c>
      <c r="CQ78" s="259">
        <f t="shared" si="124"/>
        <v>44419</v>
      </c>
      <c r="CR78" s="259">
        <f t="shared" si="124"/>
        <v>44420</v>
      </c>
      <c r="CS78" s="259">
        <f t="shared" si="124"/>
        <v>44421</v>
      </c>
      <c r="CT78" s="259">
        <f t="shared" si="124"/>
        <v>44422</v>
      </c>
      <c r="CU78" s="259">
        <f aca="true" t="shared" si="125" ref="CU78:DZ78">CT78+1</f>
        <v>44423</v>
      </c>
      <c r="CV78" s="259">
        <f t="shared" si="125"/>
        <v>44424</v>
      </c>
      <c r="CW78" s="259">
        <f t="shared" si="125"/>
        <v>44425</v>
      </c>
      <c r="CX78" s="259">
        <f t="shared" si="125"/>
        <v>44426</v>
      </c>
      <c r="CY78" s="259">
        <f t="shared" si="125"/>
        <v>44427</v>
      </c>
      <c r="CZ78" s="259">
        <f t="shared" si="125"/>
        <v>44428</v>
      </c>
      <c r="DA78" s="259">
        <f t="shared" si="125"/>
        <v>44429</v>
      </c>
      <c r="DB78" s="259">
        <f t="shared" si="125"/>
        <v>44430</v>
      </c>
      <c r="DC78" s="259">
        <f t="shared" si="125"/>
        <v>44431</v>
      </c>
      <c r="DD78" s="259">
        <f t="shared" si="125"/>
        <v>44432</v>
      </c>
      <c r="DE78" s="259">
        <f t="shared" si="125"/>
        <v>44433</v>
      </c>
      <c r="DF78" s="259">
        <f t="shared" si="125"/>
        <v>44434</v>
      </c>
      <c r="DG78" s="259">
        <f t="shared" si="125"/>
        <v>44435</v>
      </c>
      <c r="DH78" s="259">
        <f t="shared" si="125"/>
        <v>44436</v>
      </c>
      <c r="DI78" s="259">
        <f t="shared" si="125"/>
        <v>44437</v>
      </c>
      <c r="DJ78" s="259">
        <f t="shared" si="125"/>
        <v>44438</v>
      </c>
      <c r="DK78" s="259">
        <f t="shared" si="125"/>
        <v>44439</v>
      </c>
      <c r="DL78" s="259">
        <f t="shared" si="125"/>
        <v>44440</v>
      </c>
      <c r="DM78" s="259">
        <f t="shared" si="125"/>
        <v>44441</v>
      </c>
      <c r="DN78" s="259">
        <f t="shared" si="125"/>
        <v>44442</v>
      </c>
      <c r="DO78" s="259">
        <f t="shared" si="125"/>
        <v>44443</v>
      </c>
      <c r="DP78" s="259">
        <f t="shared" si="125"/>
        <v>44444</v>
      </c>
      <c r="DQ78" s="259">
        <f t="shared" si="125"/>
        <v>44445</v>
      </c>
      <c r="DR78" s="259">
        <f t="shared" si="125"/>
        <v>44446</v>
      </c>
      <c r="DS78" s="259">
        <f t="shared" si="125"/>
        <v>44447</v>
      </c>
      <c r="DT78" s="259">
        <f t="shared" si="125"/>
        <v>44448</v>
      </c>
      <c r="DU78" s="259">
        <f t="shared" si="125"/>
        <v>44449</v>
      </c>
      <c r="DV78" s="259">
        <f t="shared" si="125"/>
        <v>44450</v>
      </c>
      <c r="DW78" s="259">
        <f t="shared" si="125"/>
        <v>44451</v>
      </c>
      <c r="DX78" s="259">
        <f t="shared" si="125"/>
        <v>44452</v>
      </c>
      <c r="DY78" s="259">
        <f t="shared" si="125"/>
        <v>44453</v>
      </c>
      <c r="DZ78" s="259">
        <f t="shared" si="125"/>
        <v>44454</v>
      </c>
      <c r="EA78" s="259">
        <f aca="true" t="shared" si="126" ref="EA78:FF78">DZ78+1</f>
        <v>44455</v>
      </c>
      <c r="EB78" s="259">
        <f t="shared" si="126"/>
        <v>44456</v>
      </c>
      <c r="EC78" s="259">
        <f t="shared" si="126"/>
        <v>44457</v>
      </c>
      <c r="ED78" s="259">
        <f t="shared" si="126"/>
        <v>44458</v>
      </c>
      <c r="EE78" s="259">
        <f t="shared" si="126"/>
        <v>44459</v>
      </c>
      <c r="EF78" s="259">
        <f t="shared" si="126"/>
        <v>44460</v>
      </c>
      <c r="EG78" s="259">
        <f t="shared" si="126"/>
        <v>44461</v>
      </c>
      <c r="EH78" s="259">
        <f t="shared" si="126"/>
        <v>44462</v>
      </c>
      <c r="EI78" s="259">
        <f t="shared" si="126"/>
        <v>44463</v>
      </c>
      <c r="EJ78" s="259">
        <f t="shared" si="126"/>
        <v>44464</v>
      </c>
      <c r="EK78" s="259">
        <f t="shared" si="126"/>
        <v>44465</v>
      </c>
      <c r="EL78" s="259">
        <f t="shared" si="126"/>
        <v>44466</v>
      </c>
      <c r="EM78" s="259">
        <f t="shared" si="126"/>
        <v>44467</v>
      </c>
      <c r="EN78" s="259">
        <f t="shared" si="126"/>
        <v>44468</v>
      </c>
      <c r="EO78" s="259">
        <f t="shared" si="126"/>
        <v>44469</v>
      </c>
      <c r="EP78" s="259">
        <f t="shared" si="126"/>
        <v>44470</v>
      </c>
      <c r="EQ78" s="259">
        <f t="shared" si="126"/>
        <v>44471</v>
      </c>
      <c r="ER78" s="259">
        <f t="shared" si="126"/>
        <v>44472</v>
      </c>
      <c r="ES78" s="259">
        <f t="shared" si="126"/>
        <v>44473</v>
      </c>
      <c r="ET78" s="259">
        <f t="shared" si="126"/>
        <v>44474</v>
      </c>
      <c r="EU78" s="259">
        <f t="shared" si="126"/>
        <v>44475</v>
      </c>
      <c r="EV78" s="259">
        <f t="shared" si="126"/>
        <v>44476</v>
      </c>
      <c r="EW78" s="259">
        <f t="shared" si="126"/>
        <v>44477</v>
      </c>
      <c r="EX78" s="259">
        <f t="shared" si="126"/>
        <v>44478</v>
      </c>
      <c r="EY78" s="259">
        <f t="shared" si="126"/>
        <v>44479</v>
      </c>
      <c r="EZ78" s="259">
        <f t="shared" si="126"/>
        <v>44480</v>
      </c>
      <c r="FA78" s="259">
        <f t="shared" si="126"/>
        <v>44481</v>
      </c>
      <c r="FB78" s="259">
        <f t="shared" si="126"/>
        <v>44482</v>
      </c>
      <c r="FC78" s="259">
        <f t="shared" si="126"/>
        <v>44483</v>
      </c>
      <c r="FD78" s="259">
        <f t="shared" si="126"/>
        <v>44484</v>
      </c>
      <c r="FE78" s="259">
        <f t="shared" si="126"/>
        <v>44485</v>
      </c>
      <c r="FF78" s="259">
        <f t="shared" si="126"/>
        <v>44486</v>
      </c>
      <c r="FG78" s="259">
        <f aca="true" t="shared" si="127" ref="FG78:GA78">FF78+1</f>
        <v>44487</v>
      </c>
      <c r="FH78" s="259">
        <f t="shared" si="127"/>
        <v>44488</v>
      </c>
      <c r="FI78" s="259">
        <f t="shared" si="127"/>
        <v>44489</v>
      </c>
      <c r="FJ78" s="259">
        <f t="shared" si="127"/>
        <v>44490</v>
      </c>
      <c r="FK78" s="259">
        <f t="shared" si="127"/>
        <v>44491</v>
      </c>
      <c r="FL78" s="259">
        <f t="shared" si="127"/>
        <v>44492</v>
      </c>
      <c r="FM78" s="259">
        <f t="shared" si="127"/>
        <v>44493</v>
      </c>
      <c r="FN78" s="259">
        <f t="shared" si="127"/>
        <v>44494</v>
      </c>
      <c r="FO78" s="259">
        <f t="shared" si="127"/>
        <v>44495</v>
      </c>
      <c r="FP78" s="259">
        <f t="shared" si="127"/>
        <v>44496</v>
      </c>
      <c r="FQ78" s="259">
        <f t="shared" si="127"/>
        <v>44497</v>
      </c>
      <c r="FR78" s="259">
        <f t="shared" si="127"/>
        <v>44498</v>
      </c>
      <c r="FS78" s="259">
        <f t="shared" si="127"/>
        <v>44499</v>
      </c>
      <c r="FT78" s="259">
        <f t="shared" si="127"/>
        <v>44500</v>
      </c>
      <c r="FU78" s="259">
        <f t="shared" si="127"/>
        <v>44501</v>
      </c>
      <c r="FV78" s="259">
        <f t="shared" si="127"/>
        <v>44502</v>
      </c>
      <c r="FW78" s="259">
        <f t="shared" si="127"/>
        <v>44503</v>
      </c>
      <c r="FX78" s="259">
        <f t="shared" si="127"/>
        <v>44504</v>
      </c>
      <c r="FY78" s="259">
        <f t="shared" si="127"/>
        <v>44505</v>
      </c>
      <c r="FZ78" s="259">
        <f t="shared" si="127"/>
        <v>44506</v>
      </c>
      <c r="GA78" s="259">
        <f t="shared" si="127"/>
        <v>44507</v>
      </c>
      <c r="GB78" s="249"/>
      <c r="GC78" s="249"/>
      <c r="GD78" s="249"/>
      <c r="GE78" s="249"/>
      <c r="GF78" s="249"/>
      <c r="GG78" s="249"/>
      <c r="GH78" s="249"/>
    </row>
    <row r="79" spans="1:183" ht="12.75">
      <c r="A79" s="260" t="s">
        <v>107</v>
      </c>
      <c r="B79" s="261" t="s">
        <v>250</v>
      </c>
      <c r="C79" s="261" t="s">
        <v>251</v>
      </c>
      <c r="D79" s="261" t="s">
        <v>252</v>
      </c>
      <c r="E79" s="261" t="s">
        <v>253</v>
      </c>
      <c r="F79" s="261" t="s">
        <v>254</v>
      </c>
      <c r="G79" s="261" t="s">
        <v>255</v>
      </c>
      <c r="H79" s="262" t="s">
        <v>256</v>
      </c>
      <c r="I79" s="261" t="s">
        <v>250</v>
      </c>
      <c r="J79" s="261" t="s">
        <v>251</v>
      </c>
      <c r="K79" s="261" t="s">
        <v>252</v>
      </c>
      <c r="L79" s="261" t="s">
        <v>253</v>
      </c>
      <c r="M79" s="261" t="s">
        <v>254</v>
      </c>
      <c r="N79" s="261" t="s">
        <v>255</v>
      </c>
      <c r="O79" s="262" t="s">
        <v>256</v>
      </c>
      <c r="P79" s="261" t="s">
        <v>250</v>
      </c>
      <c r="Q79" s="261" t="s">
        <v>251</v>
      </c>
      <c r="R79" s="261" t="s">
        <v>252</v>
      </c>
      <c r="S79" s="261" t="s">
        <v>253</v>
      </c>
      <c r="T79" s="261" t="s">
        <v>254</v>
      </c>
      <c r="U79" s="261" t="s">
        <v>255</v>
      </c>
      <c r="V79" s="262" t="s">
        <v>256</v>
      </c>
      <c r="W79" s="261" t="s">
        <v>250</v>
      </c>
      <c r="X79" s="261" t="s">
        <v>251</v>
      </c>
      <c r="Y79" s="261" t="s">
        <v>252</v>
      </c>
      <c r="Z79" s="261" t="s">
        <v>253</v>
      </c>
      <c r="AA79" s="261" t="s">
        <v>254</v>
      </c>
      <c r="AB79" s="261" t="s">
        <v>255</v>
      </c>
      <c r="AC79" s="262" t="s">
        <v>256</v>
      </c>
      <c r="AD79" s="261" t="s">
        <v>250</v>
      </c>
      <c r="AE79" s="261" t="s">
        <v>251</v>
      </c>
      <c r="AF79" s="261" t="s">
        <v>252</v>
      </c>
      <c r="AG79" s="261" t="s">
        <v>253</v>
      </c>
      <c r="AH79" s="261" t="s">
        <v>254</v>
      </c>
      <c r="AI79" s="261" t="s">
        <v>255</v>
      </c>
      <c r="AJ79" s="262" t="s">
        <v>256</v>
      </c>
      <c r="AK79" s="261" t="s">
        <v>250</v>
      </c>
      <c r="AL79" s="261" t="s">
        <v>251</v>
      </c>
      <c r="AM79" s="261" t="s">
        <v>252</v>
      </c>
      <c r="AN79" s="261" t="s">
        <v>253</v>
      </c>
      <c r="AO79" s="261" t="s">
        <v>254</v>
      </c>
      <c r="AP79" s="261" t="s">
        <v>255</v>
      </c>
      <c r="AQ79" s="262" t="s">
        <v>256</v>
      </c>
      <c r="AR79" s="261" t="s">
        <v>250</v>
      </c>
      <c r="AS79" s="261" t="s">
        <v>251</v>
      </c>
      <c r="AT79" s="261" t="s">
        <v>252</v>
      </c>
      <c r="AU79" s="261" t="s">
        <v>253</v>
      </c>
      <c r="AV79" s="261" t="s">
        <v>254</v>
      </c>
      <c r="AW79" s="261" t="s">
        <v>255</v>
      </c>
      <c r="AX79" s="262" t="s">
        <v>256</v>
      </c>
      <c r="AY79" s="261" t="s">
        <v>250</v>
      </c>
      <c r="AZ79" s="261" t="s">
        <v>251</v>
      </c>
      <c r="BA79" s="261" t="s">
        <v>252</v>
      </c>
      <c r="BB79" s="261" t="s">
        <v>253</v>
      </c>
      <c r="BC79" s="261" t="s">
        <v>254</v>
      </c>
      <c r="BD79" s="261" t="s">
        <v>255</v>
      </c>
      <c r="BE79" s="262" t="s">
        <v>256</v>
      </c>
      <c r="BF79" s="261" t="s">
        <v>250</v>
      </c>
      <c r="BG79" s="261" t="s">
        <v>251</v>
      </c>
      <c r="BH79" s="261" t="s">
        <v>252</v>
      </c>
      <c r="BI79" s="261" t="s">
        <v>253</v>
      </c>
      <c r="BJ79" s="261" t="s">
        <v>254</v>
      </c>
      <c r="BK79" s="261" t="s">
        <v>255</v>
      </c>
      <c r="BL79" s="262" t="s">
        <v>256</v>
      </c>
      <c r="BM79" s="261" t="s">
        <v>250</v>
      </c>
      <c r="BN79" s="261" t="s">
        <v>251</v>
      </c>
      <c r="BO79" s="261" t="s">
        <v>252</v>
      </c>
      <c r="BP79" s="261" t="s">
        <v>253</v>
      </c>
      <c r="BQ79" s="261" t="s">
        <v>254</v>
      </c>
      <c r="BR79" s="261" t="s">
        <v>255</v>
      </c>
      <c r="BS79" s="262" t="s">
        <v>256</v>
      </c>
      <c r="BT79" s="261" t="s">
        <v>250</v>
      </c>
      <c r="BU79" s="261" t="s">
        <v>251</v>
      </c>
      <c r="BV79" s="261" t="s">
        <v>252</v>
      </c>
      <c r="BW79" s="261" t="s">
        <v>253</v>
      </c>
      <c r="BX79" s="261" t="s">
        <v>254</v>
      </c>
      <c r="BY79" s="261" t="s">
        <v>255</v>
      </c>
      <c r="BZ79" s="262" t="s">
        <v>256</v>
      </c>
      <c r="CA79" s="261" t="s">
        <v>250</v>
      </c>
      <c r="CB79" s="261" t="s">
        <v>251</v>
      </c>
      <c r="CC79" s="261" t="s">
        <v>252</v>
      </c>
      <c r="CD79" s="261" t="s">
        <v>253</v>
      </c>
      <c r="CE79" s="261" t="s">
        <v>254</v>
      </c>
      <c r="CF79" s="261" t="s">
        <v>255</v>
      </c>
      <c r="CG79" s="262" t="s">
        <v>256</v>
      </c>
      <c r="CH79" s="261" t="s">
        <v>250</v>
      </c>
      <c r="CI79" s="261" t="s">
        <v>251</v>
      </c>
      <c r="CJ79" s="261" t="s">
        <v>252</v>
      </c>
      <c r="CK79" s="261" t="s">
        <v>253</v>
      </c>
      <c r="CL79" s="261" t="s">
        <v>254</v>
      </c>
      <c r="CM79" s="261" t="s">
        <v>255</v>
      </c>
      <c r="CN79" s="262" t="s">
        <v>256</v>
      </c>
      <c r="CO79" s="261" t="s">
        <v>250</v>
      </c>
      <c r="CP79" s="261" t="s">
        <v>251</v>
      </c>
      <c r="CQ79" s="261" t="s">
        <v>252</v>
      </c>
      <c r="CR79" s="261" t="s">
        <v>253</v>
      </c>
      <c r="CS79" s="261" t="s">
        <v>254</v>
      </c>
      <c r="CT79" s="261" t="s">
        <v>255</v>
      </c>
      <c r="CU79" s="262" t="s">
        <v>256</v>
      </c>
      <c r="CV79" s="261" t="s">
        <v>250</v>
      </c>
      <c r="CW79" s="261" t="s">
        <v>251</v>
      </c>
      <c r="CX79" s="261" t="s">
        <v>252</v>
      </c>
      <c r="CY79" s="261" t="s">
        <v>253</v>
      </c>
      <c r="CZ79" s="261" t="s">
        <v>254</v>
      </c>
      <c r="DA79" s="261" t="s">
        <v>255</v>
      </c>
      <c r="DB79" s="262" t="s">
        <v>256</v>
      </c>
      <c r="DC79" s="261" t="s">
        <v>250</v>
      </c>
      <c r="DD79" s="261" t="s">
        <v>251</v>
      </c>
      <c r="DE79" s="261" t="s">
        <v>252</v>
      </c>
      <c r="DF79" s="261" t="s">
        <v>253</v>
      </c>
      <c r="DG79" s="261" t="s">
        <v>254</v>
      </c>
      <c r="DH79" s="261" t="s">
        <v>255</v>
      </c>
      <c r="DI79" s="262" t="s">
        <v>256</v>
      </c>
      <c r="DJ79" s="261" t="s">
        <v>250</v>
      </c>
      <c r="DK79" s="261" t="s">
        <v>251</v>
      </c>
      <c r="DL79" s="261" t="s">
        <v>252</v>
      </c>
      <c r="DM79" s="261" t="s">
        <v>253</v>
      </c>
      <c r="DN79" s="261" t="s">
        <v>254</v>
      </c>
      <c r="DO79" s="261" t="s">
        <v>255</v>
      </c>
      <c r="DP79" s="262" t="s">
        <v>256</v>
      </c>
      <c r="DQ79" s="261" t="s">
        <v>250</v>
      </c>
      <c r="DR79" s="261" t="s">
        <v>251</v>
      </c>
      <c r="DS79" s="261" t="s">
        <v>252</v>
      </c>
      <c r="DT79" s="261" t="s">
        <v>253</v>
      </c>
      <c r="DU79" s="261" t="s">
        <v>254</v>
      </c>
      <c r="DV79" s="261" t="s">
        <v>255</v>
      </c>
      <c r="DW79" s="262" t="s">
        <v>256</v>
      </c>
      <c r="DX79" s="261" t="s">
        <v>250</v>
      </c>
      <c r="DY79" s="261" t="s">
        <v>251</v>
      </c>
      <c r="DZ79" s="261" t="s">
        <v>252</v>
      </c>
      <c r="EA79" s="261" t="s">
        <v>253</v>
      </c>
      <c r="EB79" s="261" t="s">
        <v>254</v>
      </c>
      <c r="EC79" s="261" t="s">
        <v>255</v>
      </c>
      <c r="ED79" s="262" t="s">
        <v>256</v>
      </c>
      <c r="EE79" s="261" t="s">
        <v>250</v>
      </c>
      <c r="EF79" s="261" t="s">
        <v>251</v>
      </c>
      <c r="EG79" s="261" t="s">
        <v>252</v>
      </c>
      <c r="EH79" s="261" t="s">
        <v>253</v>
      </c>
      <c r="EI79" s="261" t="s">
        <v>254</v>
      </c>
      <c r="EJ79" s="261" t="s">
        <v>255</v>
      </c>
      <c r="EK79" s="262" t="s">
        <v>256</v>
      </c>
      <c r="EL79" s="261" t="s">
        <v>250</v>
      </c>
      <c r="EM79" s="261" t="s">
        <v>251</v>
      </c>
      <c r="EN79" s="261" t="s">
        <v>252</v>
      </c>
      <c r="EO79" s="261" t="s">
        <v>253</v>
      </c>
      <c r="EP79" s="261" t="s">
        <v>254</v>
      </c>
      <c r="EQ79" s="261" t="s">
        <v>255</v>
      </c>
      <c r="ER79" s="262" t="s">
        <v>256</v>
      </c>
      <c r="ES79" s="261" t="s">
        <v>250</v>
      </c>
      <c r="ET79" s="261" t="s">
        <v>251</v>
      </c>
      <c r="EU79" s="261" t="s">
        <v>252</v>
      </c>
      <c r="EV79" s="261" t="s">
        <v>253</v>
      </c>
      <c r="EW79" s="261" t="s">
        <v>254</v>
      </c>
      <c r="EX79" s="261" t="s">
        <v>255</v>
      </c>
      <c r="EY79" s="262" t="s">
        <v>256</v>
      </c>
      <c r="EZ79" s="261" t="s">
        <v>250</v>
      </c>
      <c r="FA79" s="261" t="s">
        <v>251</v>
      </c>
      <c r="FB79" s="261" t="s">
        <v>252</v>
      </c>
      <c r="FC79" s="261" t="s">
        <v>253</v>
      </c>
      <c r="FD79" s="261" t="s">
        <v>254</v>
      </c>
      <c r="FE79" s="261" t="s">
        <v>255</v>
      </c>
      <c r="FF79" s="262" t="s">
        <v>256</v>
      </c>
      <c r="FG79" s="261" t="s">
        <v>250</v>
      </c>
      <c r="FH79" s="261" t="s">
        <v>251</v>
      </c>
      <c r="FI79" s="261" t="s">
        <v>252</v>
      </c>
      <c r="FJ79" s="261" t="s">
        <v>253</v>
      </c>
      <c r="FK79" s="261" t="s">
        <v>254</v>
      </c>
      <c r="FL79" s="261" t="s">
        <v>255</v>
      </c>
      <c r="FM79" s="262" t="s">
        <v>256</v>
      </c>
      <c r="FN79" s="261" t="s">
        <v>250</v>
      </c>
      <c r="FO79" s="261" t="s">
        <v>251</v>
      </c>
      <c r="FP79" s="261" t="s">
        <v>252</v>
      </c>
      <c r="FQ79" s="261" t="s">
        <v>253</v>
      </c>
      <c r="FR79" s="261" t="s">
        <v>254</v>
      </c>
      <c r="FS79" s="261" t="s">
        <v>255</v>
      </c>
      <c r="FT79" s="262" t="s">
        <v>256</v>
      </c>
      <c r="FU79" s="261" t="s">
        <v>250</v>
      </c>
      <c r="FV79" s="261" t="s">
        <v>251</v>
      </c>
      <c r="FW79" s="261" t="s">
        <v>252</v>
      </c>
      <c r="FX79" s="261" t="s">
        <v>253</v>
      </c>
      <c r="FY79" s="261" t="s">
        <v>254</v>
      </c>
      <c r="FZ79" s="261" t="s">
        <v>255</v>
      </c>
      <c r="GA79" s="262" t="s">
        <v>256</v>
      </c>
    </row>
    <row r="80" spans="1:183" ht="12.75">
      <c r="A80" s="263" t="s">
        <v>257</v>
      </c>
      <c r="B80" s="264"/>
      <c r="C80" s="264"/>
      <c r="D80" s="264"/>
      <c r="E80" s="264"/>
      <c r="F80" s="264"/>
      <c r="G80" s="264"/>
      <c r="H80" s="265"/>
      <c r="I80" s="264"/>
      <c r="J80" s="264"/>
      <c r="K80" s="264"/>
      <c r="L80" s="264"/>
      <c r="M80" s="264"/>
      <c r="N80" s="264"/>
      <c r="O80" s="265"/>
      <c r="P80" s="264"/>
      <c r="Q80" s="264"/>
      <c r="R80" s="264"/>
      <c r="S80" s="264"/>
      <c r="T80" s="264"/>
      <c r="U80" s="264"/>
      <c r="V80" s="265"/>
      <c r="W80" s="264"/>
      <c r="X80" s="264"/>
      <c r="Y80" s="264"/>
      <c r="Z80" s="264"/>
      <c r="AA80" s="264"/>
      <c r="AB80" s="264"/>
      <c r="AC80" s="265"/>
      <c r="AD80" s="264"/>
      <c r="AE80" s="264"/>
      <c r="AF80" s="264"/>
      <c r="AG80" s="264"/>
      <c r="AH80" s="264"/>
      <c r="AI80" s="264"/>
      <c r="AJ80" s="265"/>
      <c r="AK80" s="264"/>
      <c r="AL80" s="264"/>
      <c r="AM80" s="264"/>
      <c r="AN80" s="264"/>
      <c r="AO80" s="264"/>
      <c r="AP80" s="264"/>
      <c r="AQ80" s="265"/>
      <c r="AR80" s="264"/>
      <c r="AS80" s="264"/>
      <c r="AT80" s="264"/>
      <c r="AU80" s="264"/>
      <c r="AV80" s="264"/>
      <c r="AW80" s="264"/>
      <c r="AX80" s="265"/>
      <c r="AY80" s="264"/>
      <c r="AZ80" s="264"/>
      <c r="BA80" s="264"/>
      <c r="BB80" s="264"/>
      <c r="BC80" s="264"/>
      <c r="BD80" s="264"/>
      <c r="BE80" s="265"/>
      <c r="BF80" s="264"/>
      <c r="BG80" s="264"/>
      <c r="BH80" s="264"/>
      <c r="BI80" s="264"/>
      <c r="BJ80" s="264"/>
      <c r="BK80" s="264"/>
      <c r="BL80" s="265"/>
      <c r="BM80" s="264"/>
      <c r="BN80" s="264"/>
      <c r="BO80" s="264"/>
      <c r="BP80" s="264"/>
      <c r="BQ80" s="264"/>
      <c r="BR80" s="264"/>
      <c r="BS80" s="265"/>
      <c r="BT80" s="264"/>
      <c r="BU80" s="264"/>
      <c r="BV80" s="264"/>
      <c r="BW80" s="264"/>
      <c r="BX80" s="264"/>
      <c r="BY80" s="264"/>
      <c r="BZ80" s="265"/>
      <c r="CA80" s="264"/>
      <c r="CB80" s="264"/>
      <c r="CC80" s="264"/>
      <c r="CD80" s="264"/>
      <c r="CE80" s="264"/>
      <c r="CF80" s="264"/>
      <c r="CG80" s="265"/>
      <c r="CH80" s="264"/>
      <c r="CI80" s="264"/>
      <c r="CJ80" s="264"/>
      <c r="CK80" s="264"/>
      <c r="CL80" s="264"/>
      <c r="CM80" s="264"/>
      <c r="CN80" s="265"/>
      <c r="CO80" s="264"/>
      <c r="CP80" s="264"/>
      <c r="CQ80" s="264"/>
      <c r="CR80" s="264"/>
      <c r="CS80" s="264"/>
      <c r="CT80" s="264"/>
      <c r="CU80" s="265"/>
      <c r="CV80" s="264"/>
      <c r="CW80" s="264"/>
      <c r="CX80" s="264"/>
      <c r="CY80" s="264"/>
      <c r="CZ80" s="264"/>
      <c r="DA80" s="264"/>
      <c r="DB80" s="265"/>
      <c r="DC80" s="264"/>
      <c r="DD80" s="264"/>
      <c r="DE80" s="264"/>
      <c r="DF80" s="264"/>
      <c r="DG80" s="264"/>
      <c r="DH80" s="264"/>
      <c r="DI80" s="265"/>
      <c r="DJ80" s="264"/>
      <c r="DK80" s="264"/>
      <c r="DL80" s="264"/>
      <c r="DM80" s="264"/>
      <c r="DN80" s="264"/>
      <c r="DO80" s="264"/>
      <c r="DP80" s="265"/>
      <c r="DQ80" s="264"/>
      <c r="DR80" s="264"/>
      <c r="DS80" s="264"/>
      <c r="DT80" s="264"/>
      <c r="DU80" s="264"/>
      <c r="DV80" s="264"/>
      <c r="DW80" s="265"/>
      <c r="DX80" s="264"/>
      <c r="DY80" s="264"/>
      <c r="DZ80" s="264"/>
      <c r="EA80" s="264"/>
      <c r="EB80" s="264"/>
      <c r="EC80" s="264"/>
      <c r="ED80" s="265"/>
      <c r="EE80" s="264"/>
      <c r="EF80" s="264"/>
      <c r="EG80" s="264"/>
      <c r="EH80" s="264"/>
      <c r="EI80" s="264"/>
      <c r="EJ80" s="264"/>
      <c r="EK80" s="265"/>
      <c r="EL80" s="264"/>
      <c r="EM80" s="264"/>
      <c r="EN80" s="264"/>
      <c r="EO80" s="264"/>
      <c r="EP80" s="264"/>
      <c r="EQ80" s="264"/>
      <c r="ER80" s="265"/>
      <c r="ES80" s="264"/>
      <c r="ET80" s="264"/>
      <c r="EU80" s="264"/>
      <c r="EV80" s="264"/>
      <c r="EW80" s="264"/>
      <c r="EX80" s="264"/>
      <c r="EY80" s="265"/>
      <c r="EZ80" s="264"/>
      <c r="FA80" s="264"/>
      <c r="FB80" s="264"/>
      <c r="FC80" s="264"/>
      <c r="FD80" s="264"/>
      <c r="FE80" s="264"/>
      <c r="FF80" s="265"/>
      <c r="FG80" s="264"/>
      <c r="FH80" s="264"/>
      <c r="FI80" s="264"/>
      <c r="FJ80" s="264"/>
      <c r="FK80" s="264"/>
      <c r="FL80" s="264"/>
      <c r="FM80" s="265"/>
      <c r="FN80" s="264"/>
      <c r="FO80" s="264"/>
      <c r="FP80" s="264"/>
      <c r="FQ80" s="264"/>
      <c r="FR80" s="264"/>
      <c r="FS80" s="264"/>
      <c r="FT80" s="265"/>
      <c r="FU80" s="264"/>
      <c r="FV80" s="264"/>
      <c r="FW80" s="264"/>
      <c r="FX80" s="264"/>
      <c r="FY80" s="264"/>
      <c r="FZ80" s="264"/>
      <c r="GA80" s="265"/>
    </row>
    <row r="81" spans="1:183" ht="12.75">
      <c r="A81" s="266" t="s">
        <v>258</v>
      </c>
      <c r="B81" s="267">
        <f aca="true" t="shared" si="128" ref="B81:AG81">SUM(B82:B87)</f>
        <v>0</v>
      </c>
      <c r="C81" s="267">
        <f t="shared" si="128"/>
        <v>0</v>
      </c>
      <c r="D81" s="267">
        <f t="shared" si="128"/>
        <v>0</v>
      </c>
      <c r="E81" s="267">
        <f t="shared" si="128"/>
        <v>0</v>
      </c>
      <c r="F81" s="267">
        <f t="shared" si="128"/>
        <v>0</v>
      </c>
      <c r="G81" s="267">
        <f t="shared" si="128"/>
        <v>0</v>
      </c>
      <c r="H81" s="268">
        <f t="shared" si="128"/>
        <v>0</v>
      </c>
      <c r="I81" s="267">
        <f t="shared" si="128"/>
        <v>0</v>
      </c>
      <c r="J81" s="267">
        <f t="shared" si="128"/>
        <v>0</v>
      </c>
      <c r="K81" s="267">
        <f t="shared" si="128"/>
        <v>0</v>
      </c>
      <c r="L81" s="267">
        <f t="shared" si="128"/>
        <v>0</v>
      </c>
      <c r="M81" s="267">
        <f t="shared" si="128"/>
        <v>0</v>
      </c>
      <c r="N81" s="267">
        <f t="shared" si="128"/>
        <v>0</v>
      </c>
      <c r="O81" s="268">
        <f t="shared" si="128"/>
        <v>0</v>
      </c>
      <c r="P81" s="267">
        <f t="shared" si="128"/>
        <v>0</v>
      </c>
      <c r="Q81" s="267">
        <f t="shared" si="128"/>
        <v>0</v>
      </c>
      <c r="R81" s="267">
        <f t="shared" si="128"/>
        <v>0</v>
      </c>
      <c r="S81" s="267">
        <f t="shared" si="128"/>
        <v>0</v>
      </c>
      <c r="T81" s="267">
        <f t="shared" si="128"/>
        <v>0</v>
      </c>
      <c r="U81" s="267">
        <f t="shared" si="128"/>
        <v>0</v>
      </c>
      <c r="V81" s="268">
        <f t="shared" si="128"/>
        <v>0</v>
      </c>
      <c r="W81" s="267">
        <f t="shared" si="128"/>
        <v>0</v>
      </c>
      <c r="X81" s="267">
        <f t="shared" si="128"/>
        <v>0</v>
      </c>
      <c r="Y81" s="267">
        <f t="shared" si="128"/>
        <v>0</v>
      </c>
      <c r="Z81" s="267">
        <f t="shared" si="128"/>
        <v>0</v>
      </c>
      <c r="AA81" s="267">
        <f t="shared" si="128"/>
        <v>0</v>
      </c>
      <c r="AB81" s="267">
        <f t="shared" si="128"/>
        <v>0</v>
      </c>
      <c r="AC81" s="268">
        <f t="shared" si="128"/>
        <v>0</v>
      </c>
      <c r="AD81" s="267">
        <f t="shared" si="128"/>
        <v>0</v>
      </c>
      <c r="AE81" s="267">
        <f t="shared" si="128"/>
        <v>0</v>
      </c>
      <c r="AF81" s="267">
        <f t="shared" si="128"/>
        <v>0</v>
      </c>
      <c r="AG81" s="267">
        <f t="shared" si="128"/>
        <v>0</v>
      </c>
      <c r="AH81" s="267">
        <f aca="true" t="shared" si="129" ref="AH81:BM81">SUM(AH82:AH87)</f>
        <v>0</v>
      </c>
      <c r="AI81" s="267">
        <f t="shared" si="129"/>
        <v>0</v>
      </c>
      <c r="AJ81" s="268">
        <f t="shared" si="129"/>
        <v>0</v>
      </c>
      <c r="AK81" s="267">
        <f t="shared" si="129"/>
        <v>0</v>
      </c>
      <c r="AL81" s="267">
        <f t="shared" si="129"/>
        <v>0</v>
      </c>
      <c r="AM81" s="267">
        <f t="shared" si="129"/>
        <v>0</v>
      </c>
      <c r="AN81" s="267">
        <f t="shared" si="129"/>
        <v>0</v>
      </c>
      <c r="AO81" s="267">
        <f t="shared" si="129"/>
        <v>0</v>
      </c>
      <c r="AP81" s="267">
        <f t="shared" si="129"/>
        <v>0</v>
      </c>
      <c r="AQ81" s="268">
        <f t="shared" si="129"/>
        <v>0</v>
      </c>
      <c r="AR81" s="267">
        <f t="shared" si="129"/>
        <v>0</v>
      </c>
      <c r="AS81" s="267">
        <f t="shared" si="129"/>
        <v>0</v>
      </c>
      <c r="AT81" s="267">
        <f t="shared" si="129"/>
        <v>0</v>
      </c>
      <c r="AU81" s="267">
        <f t="shared" si="129"/>
        <v>0</v>
      </c>
      <c r="AV81" s="267">
        <f t="shared" si="129"/>
        <v>0</v>
      </c>
      <c r="AW81" s="267">
        <f t="shared" si="129"/>
        <v>0</v>
      </c>
      <c r="AX81" s="268">
        <f t="shared" si="129"/>
        <v>0</v>
      </c>
      <c r="AY81" s="267">
        <f t="shared" si="129"/>
        <v>0</v>
      </c>
      <c r="AZ81" s="267">
        <f t="shared" si="129"/>
        <v>0</v>
      </c>
      <c r="BA81" s="267">
        <f t="shared" si="129"/>
        <v>0</v>
      </c>
      <c r="BB81" s="267">
        <f t="shared" si="129"/>
        <v>0</v>
      </c>
      <c r="BC81" s="267">
        <f t="shared" si="129"/>
        <v>0</v>
      </c>
      <c r="BD81" s="267">
        <f t="shared" si="129"/>
        <v>0</v>
      </c>
      <c r="BE81" s="268">
        <f t="shared" si="129"/>
        <v>0</v>
      </c>
      <c r="BF81" s="267">
        <f t="shared" si="129"/>
        <v>0</v>
      </c>
      <c r="BG81" s="267">
        <f t="shared" si="129"/>
        <v>0</v>
      </c>
      <c r="BH81" s="267">
        <f t="shared" si="129"/>
        <v>0</v>
      </c>
      <c r="BI81" s="267">
        <f t="shared" si="129"/>
        <v>0</v>
      </c>
      <c r="BJ81" s="267">
        <f t="shared" si="129"/>
        <v>0</v>
      </c>
      <c r="BK81" s="267">
        <f t="shared" si="129"/>
        <v>0</v>
      </c>
      <c r="BL81" s="268">
        <f t="shared" si="129"/>
        <v>0</v>
      </c>
      <c r="BM81" s="267">
        <f t="shared" si="129"/>
        <v>0</v>
      </c>
      <c r="BN81" s="267">
        <f aca="true" t="shared" si="130" ref="BN81:CS81">SUM(BN82:BN87)</f>
        <v>0</v>
      </c>
      <c r="BO81" s="267">
        <f t="shared" si="130"/>
        <v>0</v>
      </c>
      <c r="BP81" s="267">
        <f t="shared" si="130"/>
        <v>0</v>
      </c>
      <c r="BQ81" s="267">
        <f t="shared" si="130"/>
        <v>0</v>
      </c>
      <c r="BR81" s="267">
        <f t="shared" si="130"/>
        <v>0</v>
      </c>
      <c r="BS81" s="268">
        <f t="shared" si="130"/>
        <v>0</v>
      </c>
      <c r="BT81" s="267">
        <f t="shared" si="130"/>
        <v>0</v>
      </c>
      <c r="BU81" s="267">
        <f t="shared" si="130"/>
        <v>0</v>
      </c>
      <c r="BV81" s="267">
        <f t="shared" si="130"/>
        <v>0</v>
      </c>
      <c r="BW81" s="267">
        <f t="shared" si="130"/>
        <v>0</v>
      </c>
      <c r="BX81" s="267">
        <f t="shared" si="130"/>
        <v>0</v>
      </c>
      <c r="BY81" s="267">
        <f t="shared" si="130"/>
        <v>0</v>
      </c>
      <c r="BZ81" s="268">
        <f t="shared" si="130"/>
        <v>0</v>
      </c>
      <c r="CA81" s="267">
        <f t="shared" si="130"/>
        <v>0</v>
      </c>
      <c r="CB81" s="267">
        <f t="shared" si="130"/>
        <v>0</v>
      </c>
      <c r="CC81" s="267">
        <f t="shared" si="130"/>
        <v>0</v>
      </c>
      <c r="CD81" s="267">
        <f t="shared" si="130"/>
        <v>0</v>
      </c>
      <c r="CE81" s="267">
        <f t="shared" si="130"/>
        <v>0</v>
      </c>
      <c r="CF81" s="267">
        <f t="shared" si="130"/>
        <v>0</v>
      </c>
      <c r="CG81" s="268">
        <f t="shared" si="130"/>
        <v>0</v>
      </c>
      <c r="CH81" s="267">
        <f t="shared" si="130"/>
        <v>0</v>
      </c>
      <c r="CI81" s="267">
        <f t="shared" si="130"/>
        <v>0</v>
      </c>
      <c r="CJ81" s="267">
        <f t="shared" si="130"/>
        <v>0</v>
      </c>
      <c r="CK81" s="267">
        <f t="shared" si="130"/>
        <v>0</v>
      </c>
      <c r="CL81" s="267">
        <f t="shared" si="130"/>
        <v>0</v>
      </c>
      <c r="CM81" s="267">
        <f t="shared" si="130"/>
        <v>0</v>
      </c>
      <c r="CN81" s="268">
        <f t="shared" si="130"/>
        <v>0</v>
      </c>
      <c r="CO81" s="267">
        <f t="shared" si="130"/>
        <v>0</v>
      </c>
      <c r="CP81" s="267">
        <f t="shared" si="130"/>
        <v>0</v>
      </c>
      <c r="CQ81" s="267">
        <f t="shared" si="130"/>
        <v>0</v>
      </c>
      <c r="CR81" s="267">
        <f t="shared" si="130"/>
        <v>0</v>
      </c>
      <c r="CS81" s="267">
        <f t="shared" si="130"/>
        <v>0</v>
      </c>
      <c r="CT81" s="267">
        <f aca="true" t="shared" si="131" ref="CT81:DY81">SUM(CT82:CT87)</f>
        <v>0</v>
      </c>
      <c r="CU81" s="268">
        <f t="shared" si="131"/>
        <v>0</v>
      </c>
      <c r="CV81" s="267">
        <f t="shared" si="131"/>
        <v>0</v>
      </c>
      <c r="CW81" s="267">
        <f t="shared" si="131"/>
        <v>0</v>
      </c>
      <c r="CX81" s="267">
        <f t="shared" si="131"/>
        <v>0</v>
      </c>
      <c r="CY81" s="267">
        <f t="shared" si="131"/>
        <v>0</v>
      </c>
      <c r="CZ81" s="267">
        <f t="shared" si="131"/>
        <v>0</v>
      </c>
      <c r="DA81" s="267">
        <f t="shared" si="131"/>
        <v>0</v>
      </c>
      <c r="DB81" s="268">
        <f t="shared" si="131"/>
        <v>0</v>
      </c>
      <c r="DC81" s="267">
        <f t="shared" si="131"/>
        <v>0</v>
      </c>
      <c r="DD81" s="267">
        <f t="shared" si="131"/>
        <v>0</v>
      </c>
      <c r="DE81" s="267">
        <f t="shared" si="131"/>
        <v>0</v>
      </c>
      <c r="DF81" s="267">
        <f t="shared" si="131"/>
        <v>0</v>
      </c>
      <c r="DG81" s="267">
        <f t="shared" si="131"/>
        <v>0</v>
      </c>
      <c r="DH81" s="267">
        <f t="shared" si="131"/>
        <v>0</v>
      </c>
      <c r="DI81" s="268">
        <f t="shared" si="131"/>
        <v>0</v>
      </c>
      <c r="DJ81" s="267">
        <f t="shared" si="131"/>
        <v>0</v>
      </c>
      <c r="DK81" s="267">
        <f t="shared" si="131"/>
        <v>0</v>
      </c>
      <c r="DL81" s="267">
        <f t="shared" si="131"/>
        <v>0</v>
      </c>
      <c r="DM81" s="267">
        <f t="shared" si="131"/>
        <v>0</v>
      </c>
      <c r="DN81" s="267">
        <f t="shared" si="131"/>
        <v>0</v>
      </c>
      <c r="DO81" s="267">
        <f t="shared" si="131"/>
        <v>0</v>
      </c>
      <c r="DP81" s="268">
        <f t="shared" si="131"/>
        <v>0</v>
      </c>
      <c r="DQ81" s="267">
        <f t="shared" si="131"/>
        <v>0</v>
      </c>
      <c r="DR81" s="267">
        <f t="shared" si="131"/>
        <v>0</v>
      </c>
      <c r="DS81" s="267">
        <f t="shared" si="131"/>
        <v>0</v>
      </c>
      <c r="DT81" s="267">
        <f t="shared" si="131"/>
        <v>0</v>
      </c>
      <c r="DU81" s="267">
        <f t="shared" si="131"/>
        <v>0</v>
      </c>
      <c r="DV81" s="267">
        <f t="shared" si="131"/>
        <v>0</v>
      </c>
      <c r="DW81" s="268">
        <f t="shared" si="131"/>
        <v>0</v>
      </c>
      <c r="DX81" s="267">
        <f t="shared" si="131"/>
        <v>0</v>
      </c>
      <c r="DY81" s="267">
        <f t="shared" si="131"/>
        <v>0</v>
      </c>
      <c r="DZ81" s="267">
        <f aca="true" t="shared" si="132" ref="DZ81:FE81">SUM(DZ82:DZ87)</f>
        <v>0</v>
      </c>
      <c r="EA81" s="267">
        <f t="shared" si="132"/>
        <v>0</v>
      </c>
      <c r="EB81" s="267">
        <f t="shared" si="132"/>
        <v>0</v>
      </c>
      <c r="EC81" s="267">
        <f t="shared" si="132"/>
        <v>0</v>
      </c>
      <c r="ED81" s="268">
        <f t="shared" si="132"/>
        <v>0</v>
      </c>
      <c r="EE81" s="267">
        <f t="shared" si="132"/>
        <v>0</v>
      </c>
      <c r="EF81" s="267">
        <f t="shared" si="132"/>
        <v>0</v>
      </c>
      <c r="EG81" s="267">
        <f t="shared" si="132"/>
        <v>0</v>
      </c>
      <c r="EH81" s="267">
        <f t="shared" si="132"/>
        <v>0</v>
      </c>
      <c r="EI81" s="267">
        <f t="shared" si="132"/>
        <v>0</v>
      </c>
      <c r="EJ81" s="267">
        <f t="shared" si="132"/>
        <v>0</v>
      </c>
      <c r="EK81" s="268">
        <f t="shared" si="132"/>
        <v>0</v>
      </c>
      <c r="EL81" s="267">
        <f t="shared" si="132"/>
        <v>0</v>
      </c>
      <c r="EM81" s="267">
        <f t="shared" si="132"/>
        <v>0</v>
      </c>
      <c r="EN81" s="267">
        <f t="shared" si="132"/>
        <v>0</v>
      </c>
      <c r="EO81" s="267">
        <f t="shared" si="132"/>
        <v>0</v>
      </c>
      <c r="EP81" s="267">
        <f t="shared" si="132"/>
        <v>0</v>
      </c>
      <c r="EQ81" s="267">
        <f t="shared" si="132"/>
        <v>0</v>
      </c>
      <c r="ER81" s="268">
        <f t="shared" si="132"/>
        <v>0</v>
      </c>
      <c r="ES81" s="267">
        <f t="shared" si="132"/>
        <v>0</v>
      </c>
      <c r="ET81" s="267">
        <f t="shared" si="132"/>
        <v>0</v>
      </c>
      <c r="EU81" s="267">
        <f t="shared" si="132"/>
        <v>0</v>
      </c>
      <c r="EV81" s="267">
        <f t="shared" si="132"/>
        <v>0</v>
      </c>
      <c r="EW81" s="267">
        <f t="shared" si="132"/>
        <v>0</v>
      </c>
      <c r="EX81" s="267">
        <f t="shared" si="132"/>
        <v>0</v>
      </c>
      <c r="EY81" s="268">
        <f t="shared" si="132"/>
        <v>0</v>
      </c>
      <c r="EZ81" s="267">
        <f t="shared" si="132"/>
        <v>0</v>
      </c>
      <c r="FA81" s="267">
        <f t="shared" si="132"/>
        <v>0</v>
      </c>
      <c r="FB81" s="267">
        <f t="shared" si="132"/>
        <v>0</v>
      </c>
      <c r="FC81" s="267">
        <f t="shared" si="132"/>
        <v>0</v>
      </c>
      <c r="FD81" s="267">
        <f t="shared" si="132"/>
        <v>0</v>
      </c>
      <c r="FE81" s="267">
        <f t="shared" si="132"/>
        <v>0</v>
      </c>
      <c r="FF81" s="268">
        <f aca="true" t="shared" si="133" ref="FF81:GA81">SUM(FF82:FF87)</f>
        <v>0</v>
      </c>
      <c r="FG81" s="267">
        <f t="shared" si="133"/>
        <v>0</v>
      </c>
      <c r="FH81" s="267">
        <f t="shared" si="133"/>
        <v>0</v>
      </c>
      <c r="FI81" s="267">
        <f t="shared" si="133"/>
        <v>0</v>
      </c>
      <c r="FJ81" s="267">
        <f t="shared" si="133"/>
        <v>0</v>
      </c>
      <c r="FK81" s="267">
        <f t="shared" si="133"/>
        <v>0</v>
      </c>
      <c r="FL81" s="267">
        <f t="shared" si="133"/>
        <v>0</v>
      </c>
      <c r="FM81" s="268">
        <f t="shared" si="133"/>
        <v>0</v>
      </c>
      <c r="FN81" s="267">
        <f t="shared" si="133"/>
        <v>0</v>
      </c>
      <c r="FO81" s="267">
        <f t="shared" si="133"/>
        <v>0</v>
      </c>
      <c r="FP81" s="267">
        <f t="shared" si="133"/>
        <v>0</v>
      </c>
      <c r="FQ81" s="267">
        <f t="shared" si="133"/>
        <v>0</v>
      </c>
      <c r="FR81" s="267">
        <f t="shared" si="133"/>
        <v>0</v>
      </c>
      <c r="FS81" s="267">
        <f t="shared" si="133"/>
        <v>0</v>
      </c>
      <c r="FT81" s="268">
        <f t="shared" si="133"/>
        <v>0</v>
      </c>
      <c r="FU81" s="267">
        <f t="shared" si="133"/>
        <v>0</v>
      </c>
      <c r="FV81" s="267">
        <f t="shared" si="133"/>
        <v>0</v>
      </c>
      <c r="FW81" s="267">
        <f t="shared" si="133"/>
        <v>0</v>
      </c>
      <c r="FX81" s="267">
        <f t="shared" si="133"/>
        <v>0</v>
      </c>
      <c r="FY81" s="267">
        <f t="shared" si="133"/>
        <v>0</v>
      </c>
      <c r="FZ81" s="267">
        <f t="shared" si="133"/>
        <v>0</v>
      </c>
      <c r="GA81" s="268">
        <f t="shared" si="133"/>
        <v>0</v>
      </c>
    </row>
    <row r="82" spans="1:183" ht="12.75">
      <c r="A82" s="269" t="s">
        <v>259</v>
      </c>
      <c r="B82" s="270"/>
      <c r="C82" s="270"/>
      <c r="D82" s="270"/>
      <c r="E82" s="270"/>
      <c r="F82" s="270"/>
      <c r="G82" s="270"/>
      <c r="H82" s="271"/>
      <c r="I82" s="270"/>
      <c r="J82" s="270"/>
      <c r="K82" s="270"/>
      <c r="L82" s="270"/>
      <c r="M82" s="270"/>
      <c r="N82" s="270"/>
      <c r="O82" s="271"/>
      <c r="P82" s="270"/>
      <c r="Q82" s="270"/>
      <c r="R82" s="270"/>
      <c r="S82" s="270"/>
      <c r="T82" s="270"/>
      <c r="U82" s="270"/>
      <c r="V82" s="271"/>
      <c r="W82" s="270"/>
      <c r="X82" s="270"/>
      <c r="Y82" s="270"/>
      <c r="Z82" s="270"/>
      <c r="AA82" s="270"/>
      <c r="AB82" s="270"/>
      <c r="AC82" s="271"/>
      <c r="AD82" s="270"/>
      <c r="AE82" s="270"/>
      <c r="AF82" s="270"/>
      <c r="AG82" s="270"/>
      <c r="AH82" s="270"/>
      <c r="AI82" s="270"/>
      <c r="AJ82" s="271"/>
      <c r="AK82" s="270"/>
      <c r="AL82" s="270"/>
      <c r="AM82" s="270"/>
      <c r="AN82" s="270"/>
      <c r="AO82" s="270"/>
      <c r="AP82" s="270"/>
      <c r="AQ82" s="271"/>
      <c r="AR82" s="270"/>
      <c r="AS82" s="270"/>
      <c r="AT82" s="270"/>
      <c r="AU82" s="270"/>
      <c r="AV82" s="270"/>
      <c r="AW82" s="270"/>
      <c r="AX82" s="271"/>
      <c r="AY82" s="270"/>
      <c r="AZ82" s="270"/>
      <c r="BA82" s="270"/>
      <c r="BB82" s="270"/>
      <c r="BC82" s="270"/>
      <c r="BD82" s="270"/>
      <c r="BE82" s="271"/>
      <c r="BF82" s="270"/>
      <c r="BG82" s="270"/>
      <c r="BH82" s="270"/>
      <c r="BI82" s="270"/>
      <c r="BJ82" s="270"/>
      <c r="BK82" s="270"/>
      <c r="BL82" s="271"/>
      <c r="BM82" s="270"/>
      <c r="BN82" s="270"/>
      <c r="BO82" s="270"/>
      <c r="BP82" s="270"/>
      <c r="BQ82" s="270"/>
      <c r="BR82" s="270"/>
      <c r="BS82" s="271"/>
      <c r="BT82" s="270"/>
      <c r="BU82" s="270"/>
      <c r="BV82" s="270"/>
      <c r="BW82" s="270"/>
      <c r="BX82" s="270"/>
      <c r="BY82" s="270"/>
      <c r="BZ82" s="271"/>
      <c r="CA82" s="270"/>
      <c r="CB82" s="270"/>
      <c r="CC82" s="270"/>
      <c r="CD82" s="270"/>
      <c r="CE82" s="270"/>
      <c r="CF82" s="270"/>
      <c r="CG82" s="271"/>
      <c r="CH82" s="270"/>
      <c r="CI82" s="270"/>
      <c r="CJ82" s="270"/>
      <c r="CK82" s="270"/>
      <c r="CL82" s="270"/>
      <c r="CM82" s="270"/>
      <c r="CN82" s="271"/>
      <c r="CO82" s="270"/>
      <c r="CP82" s="270"/>
      <c r="CQ82" s="270"/>
      <c r="CR82" s="270"/>
      <c r="CS82" s="270"/>
      <c r="CT82" s="270"/>
      <c r="CU82" s="271"/>
      <c r="CV82" s="270"/>
      <c r="CW82" s="270"/>
      <c r="CX82" s="270"/>
      <c r="CY82" s="270"/>
      <c r="CZ82" s="270"/>
      <c r="DA82" s="270"/>
      <c r="DB82" s="271"/>
      <c r="DC82" s="270"/>
      <c r="DD82" s="270"/>
      <c r="DE82" s="270"/>
      <c r="DF82" s="270"/>
      <c r="DG82" s="270"/>
      <c r="DH82" s="270"/>
      <c r="DI82" s="271"/>
      <c r="DJ82" s="270"/>
      <c r="DK82" s="270"/>
      <c r="DL82" s="270"/>
      <c r="DM82" s="270"/>
      <c r="DN82" s="270"/>
      <c r="DO82" s="270"/>
      <c r="DP82" s="271"/>
      <c r="DQ82" s="270"/>
      <c r="DR82" s="270"/>
      <c r="DS82" s="270"/>
      <c r="DT82" s="270"/>
      <c r="DU82" s="270"/>
      <c r="DV82" s="270"/>
      <c r="DW82" s="271"/>
      <c r="DX82" s="270"/>
      <c r="DY82" s="270"/>
      <c r="DZ82" s="270"/>
      <c r="EA82" s="270"/>
      <c r="EB82" s="270"/>
      <c r="EC82" s="270"/>
      <c r="ED82" s="271"/>
      <c r="EE82" s="270"/>
      <c r="EF82" s="270"/>
      <c r="EG82" s="270"/>
      <c r="EH82" s="270"/>
      <c r="EI82" s="270"/>
      <c r="EJ82" s="270"/>
      <c r="EK82" s="271"/>
      <c r="EL82" s="270"/>
      <c r="EM82" s="270"/>
      <c r="EN82" s="270"/>
      <c r="EO82" s="270"/>
      <c r="EP82" s="270"/>
      <c r="EQ82" s="270"/>
      <c r="ER82" s="271"/>
      <c r="ES82" s="270"/>
      <c r="ET82" s="270"/>
      <c r="EU82" s="270"/>
      <c r="EV82" s="270"/>
      <c r="EW82" s="270"/>
      <c r="EX82" s="270"/>
      <c r="EY82" s="271"/>
      <c r="EZ82" s="270"/>
      <c r="FA82" s="270"/>
      <c r="FB82" s="270"/>
      <c r="FC82" s="270"/>
      <c r="FD82" s="270"/>
      <c r="FE82" s="270"/>
      <c r="FF82" s="271"/>
      <c r="FG82" s="270"/>
      <c r="FH82" s="270"/>
      <c r="FI82" s="270"/>
      <c r="FJ82" s="270"/>
      <c r="FK82" s="270"/>
      <c r="FL82" s="270"/>
      <c r="FM82" s="271"/>
      <c r="FN82" s="270"/>
      <c r="FO82" s="270"/>
      <c r="FP82" s="270"/>
      <c r="FQ82" s="270"/>
      <c r="FR82" s="270"/>
      <c r="FS82" s="270"/>
      <c r="FT82" s="271"/>
      <c r="FU82" s="270"/>
      <c r="FV82" s="270"/>
      <c r="FW82" s="270"/>
      <c r="FX82" s="270"/>
      <c r="FY82" s="270"/>
      <c r="FZ82" s="270"/>
      <c r="GA82" s="271"/>
    </row>
    <row r="83" spans="1:183" ht="12.75">
      <c r="A83" s="269" t="s">
        <v>1</v>
      </c>
      <c r="B83" s="270"/>
      <c r="C83" s="270"/>
      <c r="D83" s="270"/>
      <c r="E83" s="270"/>
      <c r="F83" s="270"/>
      <c r="G83" s="270"/>
      <c r="H83" s="271"/>
      <c r="I83" s="270"/>
      <c r="J83" s="270"/>
      <c r="K83" s="270"/>
      <c r="L83" s="270"/>
      <c r="M83" s="270"/>
      <c r="N83" s="270"/>
      <c r="O83" s="271"/>
      <c r="P83" s="270"/>
      <c r="Q83" s="270"/>
      <c r="R83" s="270"/>
      <c r="S83" s="270"/>
      <c r="T83" s="270"/>
      <c r="U83" s="270"/>
      <c r="V83" s="271"/>
      <c r="W83" s="270"/>
      <c r="X83" s="270"/>
      <c r="Y83" s="270"/>
      <c r="Z83" s="270"/>
      <c r="AA83" s="270"/>
      <c r="AB83" s="270"/>
      <c r="AC83" s="271"/>
      <c r="AD83" s="270"/>
      <c r="AE83" s="270"/>
      <c r="AF83" s="270"/>
      <c r="AG83" s="270"/>
      <c r="AH83" s="270"/>
      <c r="AI83" s="270"/>
      <c r="AJ83" s="271"/>
      <c r="AK83" s="270"/>
      <c r="AL83" s="270"/>
      <c r="AM83" s="270"/>
      <c r="AN83" s="270"/>
      <c r="AO83" s="270"/>
      <c r="AP83" s="270"/>
      <c r="AQ83" s="271"/>
      <c r="AR83" s="270"/>
      <c r="AS83" s="270"/>
      <c r="AT83" s="270"/>
      <c r="AU83" s="270"/>
      <c r="AV83" s="270"/>
      <c r="AW83" s="270"/>
      <c r="AX83" s="271"/>
      <c r="AY83" s="270"/>
      <c r="AZ83" s="270"/>
      <c r="BA83" s="270"/>
      <c r="BB83" s="270"/>
      <c r="BC83" s="270"/>
      <c r="BD83" s="270"/>
      <c r="BE83" s="271"/>
      <c r="BF83" s="270"/>
      <c r="BG83" s="270"/>
      <c r="BH83" s="270"/>
      <c r="BI83" s="270"/>
      <c r="BJ83" s="270"/>
      <c r="BK83" s="270"/>
      <c r="BL83" s="271"/>
      <c r="BM83" s="270"/>
      <c r="BN83" s="270"/>
      <c r="BO83" s="270"/>
      <c r="BP83" s="270"/>
      <c r="BQ83" s="270"/>
      <c r="BR83" s="270"/>
      <c r="BS83" s="271"/>
      <c r="BT83" s="270"/>
      <c r="BU83" s="270"/>
      <c r="BV83" s="270"/>
      <c r="BW83" s="270"/>
      <c r="BX83" s="270"/>
      <c r="BY83" s="270"/>
      <c r="BZ83" s="271"/>
      <c r="CA83" s="270"/>
      <c r="CB83" s="270"/>
      <c r="CC83" s="270"/>
      <c r="CD83" s="270"/>
      <c r="CE83" s="270"/>
      <c r="CF83" s="270"/>
      <c r="CG83" s="271"/>
      <c r="CH83" s="270"/>
      <c r="CI83" s="270"/>
      <c r="CJ83" s="270"/>
      <c r="CK83" s="270"/>
      <c r="CL83" s="270"/>
      <c r="CM83" s="270"/>
      <c r="CN83" s="271"/>
      <c r="CO83" s="270"/>
      <c r="CP83" s="270"/>
      <c r="CQ83" s="270"/>
      <c r="CR83" s="270"/>
      <c r="CS83" s="270"/>
      <c r="CT83" s="270"/>
      <c r="CU83" s="271"/>
      <c r="CV83" s="270"/>
      <c r="CW83" s="270"/>
      <c r="CX83" s="270"/>
      <c r="CY83" s="270"/>
      <c r="CZ83" s="270"/>
      <c r="DA83" s="270"/>
      <c r="DB83" s="271"/>
      <c r="DC83" s="270"/>
      <c r="DD83" s="270"/>
      <c r="DE83" s="270"/>
      <c r="DF83" s="270"/>
      <c r="DG83" s="270"/>
      <c r="DH83" s="270"/>
      <c r="DI83" s="271"/>
      <c r="DJ83" s="270"/>
      <c r="DK83" s="270"/>
      <c r="DL83" s="270"/>
      <c r="DM83" s="270"/>
      <c r="DN83" s="270"/>
      <c r="DO83" s="270"/>
      <c r="DP83" s="271"/>
      <c r="DQ83" s="270"/>
      <c r="DR83" s="270"/>
      <c r="DS83" s="270"/>
      <c r="DT83" s="270"/>
      <c r="DU83" s="270"/>
      <c r="DV83" s="270"/>
      <c r="DW83" s="271"/>
      <c r="DX83" s="270"/>
      <c r="DY83" s="270"/>
      <c r="DZ83" s="270"/>
      <c r="EA83" s="270"/>
      <c r="EB83" s="270"/>
      <c r="EC83" s="270"/>
      <c r="ED83" s="271"/>
      <c r="EE83" s="270"/>
      <c r="EF83" s="270"/>
      <c r="EG83" s="270"/>
      <c r="EH83" s="270"/>
      <c r="EI83" s="270"/>
      <c r="EJ83" s="270"/>
      <c r="EK83" s="271"/>
      <c r="EL83" s="270"/>
      <c r="EM83" s="270"/>
      <c r="EN83" s="270"/>
      <c r="EO83" s="270"/>
      <c r="EP83" s="270"/>
      <c r="EQ83" s="270"/>
      <c r="ER83" s="271"/>
      <c r="ES83" s="270"/>
      <c r="ET83" s="270"/>
      <c r="EU83" s="270"/>
      <c r="EV83" s="270"/>
      <c r="EW83" s="270"/>
      <c r="EX83" s="270"/>
      <c r="EY83" s="271"/>
      <c r="EZ83" s="270"/>
      <c r="FA83" s="270"/>
      <c r="FB83" s="270"/>
      <c r="FC83" s="270"/>
      <c r="FD83" s="270"/>
      <c r="FE83" s="270"/>
      <c r="FF83" s="271"/>
      <c r="FG83" s="270"/>
      <c r="FH83" s="270"/>
      <c r="FI83" s="270"/>
      <c r="FJ83" s="270"/>
      <c r="FK83" s="270"/>
      <c r="FL83" s="270"/>
      <c r="FM83" s="271"/>
      <c r="FN83" s="270"/>
      <c r="FO83" s="270"/>
      <c r="FP83" s="270"/>
      <c r="FQ83" s="270"/>
      <c r="FR83" s="270"/>
      <c r="FS83" s="270"/>
      <c r="FT83" s="271"/>
      <c r="FU83" s="270"/>
      <c r="FV83" s="270"/>
      <c r="FW83" s="270"/>
      <c r="FX83" s="270"/>
      <c r="FY83" s="270"/>
      <c r="FZ83" s="270"/>
      <c r="GA83" s="271"/>
    </row>
    <row r="84" spans="1:183" ht="12.75">
      <c r="A84" s="269" t="s">
        <v>260</v>
      </c>
      <c r="B84" s="270"/>
      <c r="C84" s="270"/>
      <c r="D84" s="270"/>
      <c r="E84" s="270"/>
      <c r="F84" s="270"/>
      <c r="G84" s="270"/>
      <c r="H84" s="271"/>
      <c r="I84" s="270"/>
      <c r="J84" s="270"/>
      <c r="K84" s="270"/>
      <c r="L84" s="270"/>
      <c r="M84" s="270"/>
      <c r="N84" s="270"/>
      <c r="O84" s="271"/>
      <c r="P84" s="270"/>
      <c r="Q84" s="270"/>
      <c r="R84" s="270"/>
      <c r="S84" s="270"/>
      <c r="T84" s="270"/>
      <c r="U84" s="270"/>
      <c r="V84" s="271"/>
      <c r="W84" s="270"/>
      <c r="X84" s="270"/>
      <c r="Y84" s="270"/>
      <c r="Z84" s="270"/>
      <c r="AA84" s="270"/>
      <c r="AB84" s="270"/>
      <c r="AC84" s="271"/>
      <c r="AD84" s="270"/>
      <c r="AE84" s="270"/>
      <c r="AF84" s="270"/>
      <c r="AG84" s="270"/>
      <c r="AH84" s="270"/>
      <c r="AI84" s="270"/>
      <c r="AJ84" s="271"/>
      <c r="AK84" s="270"/>
      <c r="AL84" s="270"/>
      <c r="AM84" s="270"/>
      <c r="AN84" s="270"/>
      <c r="AO84" s="270"/>
      <c r="AP84" s="270"/>
      <c r="AQ84" s="271"/>
      <c r="AR84" s="270"/>
      <c r="AS84" s="270"/>
      <c r="AT84" s="270"/>
      <c r="AU84" s="270"/>
      <c r="AV84" s="270"/>
      <c r="AW84" s="270"/>
      <c r="AX84" s="271"/>
      <c r="AY84" s="270"/>
      <c r="AZ84" s="270"/>
      <c r="BA84" s="270"/>
      <c r="BB84" s="270"/>
      <c r="BC84" s="270"/>
      <c r="BD84" s="270"/>
      <c r="BE84" s="271"/>
      <c r="BF84" s="270"/>
      <c r="BG84" s="270"/>
      <c r="BH84" s="270"/>
      <c r="BI84" s="270"/>
      <c r="BJ84" s="270"/>
      <c r="BK84" s="270"/>
      <c r="BL84" s="271"/>
      <c r="BM84" s="270"/>
      <c r="BN84" s="270"/>
      <c r="BO84" s="270"/>
      <c r="BP84" s="270"/>
      <c r="BQ84" s="270"/>
      <c r="BR84" s="270"/>
      <c r="BS84" s="271"/>
      <c r="BT84" s="270"/>
      <c r="BU84" s="270"/>
      <c r="BV84" s="270"/>
      <c r="BW84" s="270"/>
      <c r="BX84" s="270"/>
      <c r="BY84" s="270"/>
      <c r="BZ84" s="271"/>
      <c r="CA84" s="270"/>
      <c r="CB84" s="270"/>
      <c r="CC84" s="270"/>
      <c r="CD84" s="270"/>
      <c r="CE84" s="270"/>
      <c r="CF84" s="270"/>
      <c r="CG84" s="271"/>
      <c r="CH84" s="270"/>
      <c r="CI84" s="270"/>
      <c r="CJ84" s="270"/>
      <c r="CK84" s="270"/>
      <c r="CL84" s="270"/>
      <c r="CM84" s="270"/>
      <c r="CN84" s="271"/>
      <c r="CO84" s="270"/>
      <c r="CP84" s="270"/>
      <c r="CQ84" s="270"/>
      <c r="CR84" s="270"/>
      <c r="CS84" s="270"/>
      <c r="CT84" s="270"/>
      <c r="CU84" s="271"/>
      <c r="CV84" s="270"/>
      <c r="CW84" s="270"/>
      <c r="CX84" s="270"/>
      <c r="CY84" s="270"/>
      <c r="CZ84" s="270"/>
      <c r="DA84" s="270"/>
      <c r="DB84" s="271"/>
      <c r="DC84" s="270"/>
      <c r="DD84" s="270"/>
      <c r="DE84" s="270"/>
      <c r="DF84" s="270"/>
      <c r="DG84" s="270"/>
      <c r="DH84" s="270"/>
      <c r="DI84" s="271"/>
      <c r="DJ84" s="270"/>
      <c r="DK84" s="270"/>
      <c r="DL84" s="270"/>
      <c r="DM84" s="270"/>
      <c r="DN84" s="270"/>
      <c r="DO84" s="270"/>
      <c r="DP84" s="271"/>
      <c r="DQ84" s="270"/>
      <c r="DR84" s="270"/>
      <c r="DS84" s="270"/>
      <c r="DT84" s="270"/>
      <c r="DU84" s="270"/>
      <c r="DV84" s="270"/>
      <c r="DW84" s="271"/>
      <c r="DX84" s="270"/>
      <c r="DY84" s="270"/>
      <c r="DZ84" s="270"/>
      <c r="EA84" s="270"/>
      <c r="EB84" s="270"/>
      <c r="EC84" s="270"/>
      <c r="ED84" s="271"/>
      <c r="EE84" s="270"/>
      <c r="EF84" s="270"/>
      <c r="EG84" s="270"/>
      <c r="EH84" s="270"/>
      <c r="EI84" s="270"/>
      <c r="EJ84" s="270"/>
      <c r="EK84" s="271"/>
      <c r="EL84" s="270"/>
      <c r="EM84" s="270"/>
      <c r="EN84" s="270"/>
      <c r="EO84" s="270"/>
      <c r="EP84" s="270"/>
      <c r="EQ84" s="270"/>
      <c r="ER84" s="271"/>
      <c r="ES84" s="270"/>
      <c r="ET84" s="270"/>
      <c r="EU84" s="270"/>
      <c r="EV84" s="270"/>
      <c r="EW84" s="270"/>
      <c r="EX84" s="270"/>
      <c r="EY84" s="271"/>
      <c r="EZ84" s="270"/>
      <c r="FA84" s="270"/>
      <c r="FB84" s="270"/>
      <c r="FC84" s="270"/>
      <c r="FD84" s="270"/>
      <c r="FE84" s="270"/>
      <c r="FF84" s="271"/>
      <c r="FG84" s="270"/>
      <c r="FH84" s="270"/>
      <c r="FI84" s="270"/>
      <c r="FJ84" s="270"/>
      <c r="FK84" s="270"/>
      <c r="FL84" s="270"/>
      <c r="FM84" s="271"/>
      <c r="FN84" s="270"/>
      <c r="FO84" s="270"/>
      <c r="FP84" s="270"/>
      <c r="FQ84" s="270"/>
      <c r="FR84" s="270"/>
      <c r="FS84" s="270"/>
      <c r="FT84" s="271"/>
      <c r="FU84" s="270"/>
      <c r="FV84" s="270"/>
      <c r="FW84" s="270"/>
      <c r="FX84" s="270"/>
      <c r="FY84" s="270"/>
      <c r="FZ84" s="270"/>
      <c r="GA84" s="271"/>
    </row>
    <row r="85" spans="1:183" ht="12.75">
      <c r="A85" s="269" t="s">
        <v>261</v>
      </c>
      <c r="B85" s="270"/>
      <c r="C85" s="270"/>
      <c r="D85" s="270"/>
      <c r="E85" s="270"/>
      <c r="F85" s="270"/>
      <c r="G85" s="270"/>
      <c r="H85" s="271"/>
      <c r="I85" s="270"/>
      <c r="J85" s="270"/>
      <c r="K85" s="270"/>
      <c r="L85" s="270"/>
      <c r="M85" s="270"/>
      <c r="N85" s="270"/>
      <c r="O85" s="271"/>
      <c r="P85" s="270"/>
      <c r="Q85" s="270"/>
      <c r="R85" s="270"/>
      <c r="S85" s="270"/>
      <c r="T85" s="270"/>
      <c r="U85" s="270"/>
      <c r="V85" s="271"/>
      <c r="W85" s="270"/>
      <c r="X85" s="270"/>
      <c r="Y85" s="270"/>
      <c r="Z85" s="270"/>
      <c r="AA85" s="270"/>
      <c r="AB85" s="270"/>
      <c r="AC85" s="271"/>
      <c r="AD85" s="270"/>
      <c r="AE85" s="270"/>
      <c r="AF85" s="270"/>
      <c r="AG85" s="270"/>
      <c r="AH85" s="270"/>
      <c r="AI85" s="270"/>
      <c r="AJ85" s="271"/>
      <c r="AK85" s="270"/>
      <c r="AL85" s="270"/>
      <c r="AM85" s="270"/>
      <c r="AN85" s="270"/>
      <c r="AO85" s="270"/>
      <c r="AP85" s="270"/>
      <c r="AQ85" s="271"/>
      <c r="AR85" s="270"/>
      <c r="AS85" s="270"/>
      <c r="AT85" s="270"/>
      <c r="AU85" s="270"/>
      <c r="AV85" s="270"/>
      <c r="AW85" s="270"/>
      <c r="AX85" s="271"/>
      <c r="AY85" s="270"/>
      <c r="AZ85" s="270"/>
      <c r="BA85" s="270"/>
      <c r="BB85" s="270"/>
      <c r="BC85" s="270"/>
      <c r="BD85" s="270"/>
      <c r="BE85" s="271"/>
      <c r="BF85" s="270"/>
      <c r="BG85" s="270"/>
      <c r="BH85" s="270"/>
      <c r="BI85" s="270"/>
      <c r="BJ85" s="270"/>
      <c r="BK85" s="270"/>
      <c r="BL85" s="271"/>
      <c r="BM85" s="270"/>
      <c r="BN85" s="270"/>
      <c r="BO85" s="270"/>
      <c r="BP85" s="270"/>
      <c r="BQ85" s="270"/>
      <c r="BR85" s="270"/>
      <c r="BS85" s="271"/>
      <c r="BT85" s="270"/>
      <c r="BU85" s="270"/>
      <c r="BV85" s="270"/>
      <c r="BW85" s="270"/>
      <c r="BX85" s="270"/>
      <c r="BY85" s="270"/>
      <c r="BZ85" s="271"/>
      <c r="CA85" s="270"/>
      <c r="CB85" s="270"/>
      <c r="CC85" s="270"/>
      <c r="CD85" s="270"/>
      <c r="CE85" s="270"/>
      <c r="CF85" s="270"/>
      <c r="CG85" s="271"/>
      <c r="CH85" s="270"/>
      <c r="CI85" s="270"/>
      <c r="CJ85" s="270"/>
      <c r="CK85" s="270"/>
      <c r="CL85" s="270"/>
      <c r="CM85" s="270"/>
      <c r="CN85" s="271"/>
      <c r="CO85" s="270"/>
      <c r="CP85" s="270"/>
      <c r="CQ85" s="270"/>
      <c r="CR85" s="270"/>
      <c r="CS85" s="270"/>
      <c r="CT85" s="270"/>
      <c r="CU85" s="271"/>
      <c r="CV85" s="270"/>
      <c r="CW85" s="270"/>
      <c r="CX85" s="270"/>
      <c r="CY85" s="270"/>
      <c r="CZ85" s="270"/>
      <c r="DA85" s="270"/>
      <c r="DB85" s="271"/>
      <c r="DC85" s="270"/>
      <c r="DD85" s="270"/>
      <c r="DE85" s="270"/>
      <c r="DF85" s="270"/>
      <c r="DG85" s="270"/>
      <c r="DH85" s="270"/>
      <c r="DI85" s="271"/>
      <c r="DJ85" s="270"/>
      <c r="DK85" s="270"/>
      <c r="DL85" s="270"/>
      <c r="DM85" s="270"/>
      <c r="DN85" s="270"/>
      <c r="DO85" s="270"/>
      <c r="DP85" s="271"/>
      <c r="DQ85" s="270"/>
      <c r="DR85" s="270"/>
      <c r="DS85" s="270"/>
      <c r="DT85" s="270"/>
      <c r="DU85" s="270"/>
      <c r="DV85" s="270"/>
      <c r="DW85" s="271"/>
      <c r="DX85" s="270"/>
      <c r="DY85" s="270"/>
      <c r="DZ85" s="270"/>
      <c r="EA85" s="270"/>
      <c r="EB85" s="270"/>
      <c r="EC85" s="270"/>
      <c r="ED85" s="271"/>
      <c r="EE85" s="270"/>
      <c r="EF85" s="270"/>
      <c r="EG85" s="270"/>
      <c r="EH85" s="270"/>
      <c r="EI85" s="270"/>
      <c r="EJ85" s="270"/>
      <c r="EK85" s="271"/>
      <c r="EL85" s="270"/>
      <c r="EM85" s="270"/>
      <c r="EN85" s="270"/>
      <c r="EO85" s="270"/>
      <c r="EP85" s="270"/>
      <c r="EQ85" s="270"/>
      <c r="ER85" s="271"/>
      <c r="ES85" s="270"/>
      <c r="ET85" s="270"/>
      <c r="EU85" s="270"/>
      <c r="EV85" s="270"/>
      <c r="EW85" s="270"/>
      <c r="EX85" s="270"/>
      <c r="EY85" s="271"/>
      <c r="EZ85" s="270"/>
      <c r="FA85" s="270"/>
      <c r="FB85" s="270"/>
      <c r="FC85" s="270"/>
      <c r="FD85" s="270"/>
      <c r="FE85" s="270"/>
      <c r="FF85" s="271"/>
      <c r="FG85" s="270"/>
      <c r="FH85" s="270"/>
      <c r="FI85" s="270"/>
      <c r="FJ85" s="270"/>
      <c r="FK85" s="270"/>
      <c r="FL85" s="270"/>
      <c r="FM85" s="271"/>
      <c r="FN85" s="270"/>
      <c r="FO85" s="270"/>
      <c r="FP85" s="270"/>
      <c r="FQ85" s="270"/>
      <c r="FR85" s="270"/>
      <c r="FS85" s="270"/>
      <c r="FT85" s="271"/>
      <c r="FU85" s="270"/>
      <c r="FV85" s="270"/>
      <c r="FW85" s="270"/>
      <c r="FX85" s="270"/>
      <c r="FY85" s="270"/>
      <c r="FZ85" s="270"/>
      <c r="GA85" s="271"/>
    </row>
    <row r="86" spans="1:183" ht="12.75">
      <c r="A86" s="269" t="s">
        <v>2</v>
      </c>
      <c r="B86" s="270"/>
      <c r="C86" s="270"/>
      <c r="D86" s="270"/>
      <c r="E86" s="270"/>
      <c r="F86" s="270"/>
      <c r="G86" s="270"/>
      <c r="H86" s="271"/>
      <c r="I86" s="270"/>
      <c r="J86" s="270"/>
      <c r="K86" s="270"/>
      <c r="L86" s="270"/>
      <c r="M86" s="270"/>
      <c r="N86" s="270"/>
      <c r="O86" s="271"/>
      <c r="P86" s="270"/>
      <c r="Q86" s="270"/>
      <c r="R86" s="270"/>
      <c r="S86" s="270"/>
      <c r="T86" s="270"/>
      <c r="U86" s="270"/>
      <c r="V86" s="271"/>
      <c r="W86" s="270"/>
      <c r="X86" s="270"/>
      <c r="Y86" s="270"/>
      <c r="Z86" s="270"/>
      <c r="AA86" s="270"/>
      <c r="AB86" s="270"/>
      <c r="AC86" s="271"/>
      <c r="AD86" s="270"/>
      <c r="AE86" s="270"/>
      <c r="AF86" s="270"/>
      <c r="AG86" s="270"/>
      <c r="AH86" s="270"/>
      <c r="AI86" s="270"/>
      <c r="AJ86" s="271"/>
      <c r="AK86" s="270"/>
      <c r="AL86" s="270"/>
      <c r="AM86" s="270"/>
      <c r="AN86" s="270"/>
      <c r="AO86" s="270"/>
      <c r="AP86" s="270"/>
      <c r="AQ86" s="271"/>
      <c r="AR86" s="270"/>
      <c r="AS86" s="270"/>
      <c r="AT86" s="270"/>
      <c r="AU86" s="270"/>
      <c r="AV86" s="270"/>
      <c r="AW86" s="270"/>
      <c r="AX86" s="271"/>
      <c r="AY86" s="270"/>
      <c r="AZ86" s="270"/>
      <c r="BA86" s="270"/>
      <c r="BB86" s="270"/>
      <c r="BC86" s="270"/>
      <c r="BD86" s="270"/>
      <c r="BE86" s="271"/>
      <c r="BF86" s="270"/>
      <c r="BG86" s="270"/>
      <c r="BH86" s="270"/>
      <c r="BI86" s="270"/>
      <c r="BJ86" s="270"/>
      <c r="BK86" s="270"/>
      <c r="BL86" s="271"/>
      <c r="BM86" s="270"/>
      <c r="BN86" s="270"/>
      <c r="BO86" s="270"/>
      <c r="BP86" s="270"/>
      <c r="BQ86" s="270"/>
      <c r="BR86" s="270"/>
      <c r="BS86" s="271"/>
      <c r="BT86" s="270"/>
      <c r="BU86" s="270"/>
      <c r="BV86" s="270"/>
      <c r="BW86" s="270"/>
      <c r="BX86" s="270"/>
      <c r="BY86" s="270"/>
      <c r="BZ86" s="271"/>
      <c r="CA86" s="270"/>
      <c r="CB86" s="270"/>
      <c r="CC86" s="270"/>
      <c r="CD86" s="270"/>
      <c r="CE86" s="270"/>
      <c r="CF86" s="270"/>
      <c r="CG86" s="271"/>
      <c r="CH86" s="270"/>
      <c r="CI86" s="270"/>
      <c r="CJ86" s="270"/>
      <c r="CK86" s="270"/>
      <c r="CL86" s="270"/>
      <c r="CM86" s="270"/>
      <c r="CN86" s="271"/>
      <c r="CO86" s="270"/>
      <c r="CP86" s="270"/>
      <c r="CQ86" s="270"/>
      <c r="CR86" s="270"/>
      <c r="CS86" s="270"/>
      <c r="CT86" s="270"/>
      <c r="CU86" s="271"/>
      <c r="CV86" s="270"/>
      <c r="CW86" s="270"/>
      <c r="CX86" s="270"/>
      <c r="CY86" s="270"/>
      <c r="CZ86" s="270"/>
      <c r="DA86" s="270"/>
      <c r="DB86" s="271"/>
      <c r="DC86" s="270"/>
      <c r="DD86" s="270"/>
      <c r="DE86" s="270"/>
      <c r="DF86" s="270"/>
      <c r="DG86" s="270"/>
      <c r="DH86" s="270"/>
      <c r="DI86" s="271"/>
      <c r="DJ86" s="270"/>
      <c r="DK86" s="270"/>
      <c r="DL86" s="270"/>
      <c r="DM86" s="270"/>
      <c r="DN86" s="270"/>
      <c r="DO86" s="270"/>
      <c r="DP86" s="271"/>
      <c r="DQ86" s="270"/>
      <c r="DR86" s="270"/>
      <c r="DS86" s="270"/>
      <c r="DT86" s="270"/>
      <c r="DU86" s="270"/>
      <c r="DV86" s="270"/>
      <c r="DW86" s="271"/>
      <c r="DX86" s="270"/>
      <c r="DY86" s="270"/>
      <c r="DZ86" s="270"/>
      <c r="EA86" s="270"/>
      <c r="EB86" s="270"/>
      <c r="EC86" s="270"/>
      <c r="ED86" s="271"/>
      <c r="EE86" s="270"/>
      <c r="EF86" s="270"/>
      <c r="EG86" s="270"/>
      <c r="EH86" s="270"/>
      <c r="EI86" s="270"/>
      <c r="EJ86" s="270"/>
      <c r="EK86" s="271"/>
      <c r="EL86" s="270"/>
      <c r="EM86" s="270"/>
      <c r="EN86" s="270"/>
      <c r="EO86" s="270"/>
      <c r="EP86" s="270"/>
      <c r="EQ86" s="270"/>
      <c r="ER86" s="271"/>
      <c r="ES86" s="270"/>
      <c r="ET86" s="270"/>
      <c r="EU86" s="270"/>
      <c r="EV86" s="270"/>
      <c r="EW86" s="270"/>
      <c r="EX86" s="270"/>
      <c r="EY86" s="271"/>
      <c r="EZ86" s="270"/>
      <c r="FA86" s="270"/>
      <c r="FB86" s="270"/>
      <c r="FC86" s="270"/>
      <c r="FD86" s="270"/>
      <c r="FE86" s="270"/>
      <c r="FF86" s="271"/>
      <c r="FG86" s="270"/>
      <c r="FH86" s="270"/>
      <c r="FI86" s="270"/>
      <c r="FJ86" s="270"/>
      <c r="FK86" s="270"/>
      <c r="FL86" s="270"/>
      <c r="FM86" s="271"/>
      <c r="FN86" s="270"/>
      <c r="FO86" s="270"/>
      <c r="FP86" s="270"/>
      <c r="FQ86" s="270"/>
      <c r="FR86" s="270"/>
      <c r="FS86" s="270"/>
      <c r="FT86" s="271"/>
      <c r="FU86" s="270"/>
      <c r="FV86" s="270"/>
      <c r="FW86" s="270"/>
      <c r="FX86" s="270"/>
      <c r="FY86" s="270"/>
      <c r="FZ86" s="270"/>
      <c r="GA86" s="271"/>
    </row>
    <row r="87" spans="1:183" ht="12.75">
      <c r="A87" s="269" t="s">
        <v>262</v>
      </c>
      <c r="B87" s="270"/>
      <c r="C87" s="270"/>
      <c r="D87" s="270"/>
      <c r="E87" s="270"/>
      <c r="F87" s="270"/>
      <c r="G87" s="270"/>
      <c r="H87" s="271"/>
      <c r="I87" s="270"/>
      <c r="J87" s="270"/>
      <c r="K87" s="270"/>
      <c r="L87" s="270"/>
      <c r="M87" s="270"/>
      <c r="N87" s="270"/>
      <c r="O87" s="271"/>
      <c r="P87" s="270"/>
      <c r="Q87" s="270"/>
      <c r="R87" s="270"/>
      <c r="S87" s="270"/>
      <c r="T87" s="270"/>
      <c r="U87" s="270"/>
      <c r="V87" s="271"/>
      <c r="W87" s="270"/>
      <c r="X87" s="270"/>
      <c r="Y87" s="270"/>
      <c r="Z87" s="270"/>
      <c r="AA87" s="270"/>
      <c r="AB87" s="270"/>
      <c r="AC87" s="271"/>
      <c r="AD87" s="270"/>
      <c r="AE87" s="270"/>
      <c r="AF87" s="270"/>
      <c r="AG87" s="270"/>
      <c r="AH87" s="270"/>
      <c r="AI87" s="270"/>
      <c r="AJ87" s="271"/>
      <c r="AK87" s="270"/>
      <c r="AL87" s="270"/>
      <c r="AM87" s="270"/>
      <c r="AN87" s="270"/>
      <c r="AO87" s="270"/>
      <c r="AP87" s="270"/>
      <c r="AQ87" s="271"/>
      <c r="AR87" s="270"/>
      <c r="AS87" s="270"/>
      <c r="AT87" s="270"/>
      <c r="AU87" s="270"/>
      <c r="AV87" s="270"/>
      <c r="AW87" s="270"/>
      <c r="AX87" s="271"/>
      <c r="AY87" s="270"/>
      <c r="AZ87" s="270"/>
      <c r="BA87" s="270"/>
      <c r="BB87" s="270"/>
      <c r="BC87" s="270"/>
      <c r="BD87" s="270"/>
      <c r="BE87" s="271"/>
      <c r="BF87" s="270"/>
      <c r="BG87" s="270"/>
      <c r="BH87" s="270"/>
      <c r="BI87" s="270"/>
      <c r="BJ87" s="270"/>
      <c r="BK87" s="270"/>
      <c r="BL87" s="271"/>
      <c r="BM87" s="270"/>
      <c r="BN87" s="270"/>
      <c r="BO87" s="270"/>
      <c r="BP87" s="270"/>
      <c r="BQ87" s="270"/>
      <c r="BR87" s="270"/>
      <c r="BS87" s="271"/>
      <c r="BT87" s="270"/>
      <c r="BU87" s="270"/>
      <c r="BV87" s="270"/>
      <c r="BW87" s="270"/>
      <c r="BX87" s="270"/>
      <c r="BY87" s="270"/>
      <c r="BZ87" s="271"/>
      <c r="CA87" s="270"/>
      <c r="CB87" s="270"/>
      <c r="CC87" s="270"/>
      <c r="CD87" s="270"/>
      <c r="CE87" s="270"/>
      <c r="CF87" s="270"/>
      <c r="CG87" s="271"/>
      <c r="CH87" s="270"/>
      <c r="CI87" s="270"/>
      <c r="CJ87" s="270"/>
      <c r="CK87" s="270"/>
      <c r="CL87" s="270"/>
      <c r="CM87" s="270"/>
      <c r="CN87" s="271"/>
      <c r="CO87" s="270"/>
      <c r="CP87" s="270"/>
      <c r="CQ87" s="270"/>
      <c r="CR87" s="270"/>
      <c r="CS87" s="270"/>
      <c r="CT87" s="270"/>
      <c r="CU87" s="271"/>
      <c r="CV87" s="270"/>
      <c r="CW87" s="270"/>
      <c r="CX87" s="270"/>
      <c r="CY87" s="270"/>
      <c r="CZ87" s="270"/>
      <c r="DA87" s="270"/>
      <c r="DB87" s="271"/>
      <c r="DC87" s="270"/>
      <c r="DD87" s="270"/>
      <c r="DE87" s="270"/>
      <c r="DF87" s="270"/>
      <c r="DG87" s="270"/>
      <c r="DH87" s="270"/>
      <c r="DI87" s="271"/>
      <c r="DJ87" s="270"/>
      <c r="DK87" s="270"/>
      <c r="DL87" s="270"/>
      <c r="DM87" s="270"/>
      <c r="DN87" s="270"/>
      <c r="DO87" s="270"/>
      <c r="DP87" s="271"/>
      <c r="DQ87" s="270"/>
      <c r="DR87" s="270"/>
      <c r="DS87" s="270"/>
      <c r="DT87" s="270"/>
      <c r="DU87" s="270"/>
      <c r="DV87" s="270"/>
      <c r="DW87" s="271"/>
      <c r="DX87" s="270"/>
      <c r="DY87" s="270"/>
      <c r="DZ87" s="270"/>
      <c r="EA87" s="270"/>
      <c r="EB87" s="270"/>
      <c r="EC87" s="270"/>
      <c r="ED87" s="271"/>
      <c r="EE87" s="270"/>
      <c r="EF87" s="270"/>
      <c r="EG87" s="270"/>
      <c r="EH87" s="270"/>
      <c r="EI87" s="270"/>
      <c r="EJ87" s="270"/>
      <c r="EK87" s="271"/>
      <c r="EL87" s="270"/>
      <c r="EM87" s="270"/>
      <c r="EN87" s="270"/>
      <c r="EO87" s="270"/>
      <c r="EP87" s="270"/>
      <c r="EQ87" s="270"/>
      <c r="ER87" s="271"/>
      <c r="ES87" s="270"/>
      <c r="ET87" s="270"/>
      <c r="EU87" s="270"/>
      <c r="EV87" s="270"/>
      <c r="EW87" s="270"/>
      <c r="EX87" s="270"/>
      <c r="EY87" s="271"/>
      <c r="EZ87" s="270"/>
      <c r="FA87" s="270"/>
      <c r="FB87" s="270"/>
      <c r="FC87" s="270"/>
      <c r="FD87" s="270"/>
      <c r="FE87" s="270"/>
      <c r="FF87" s="271"/>
      <c r="FG87" s="270"/>
      <c r="FH87" s="270"/>
      <c r="FI87" s="270"/>
      <c r="FJ87" s="270"/>
      <c r="FK87" s="270"/>
      <c r="FL87" s="270"/>
      <c r="FM87" s="271"/>
      <c r="FN87" s="270"/>
      <c r="FO87" s="270"/>
      <c r="FP87" s="270"/>
      <c r="FQ87" s="270"/>
      <c r="FR87" s="270"/>
      <c r="FS87" s="270"/>
      <c r="FT87" s="271"/>
      <c r="FU87" s="270"/>
      <c r="FV87" s="270"/>
      <c r="FW87" s="270"/>
      <c r="FX87" s="270"/>
      <c r="FY87" s="270"/>
      <c r="FZ87" s="270"/>
      <c r="GA87" s="271"/>
    </row>
    <row r="88" spans="1:183" ht="12.75">
      <c r="A88" s="272" t="s">
        <v>263</v>
      </c>
      <c r="B88" s="270"/>
      <c r="C88" s="270"/>
      <c r="D88" s="270"/>
      <c r="E88" s="270"/>
      <c r="F88" s="270"/>
      <c r="G88" s="270"/>
      <c r="H88" s="271"/>
      <c r="I88" s="270"/>
      <c r="J88" s="270"/>
      <c r="K88" s="270"/>
      <c r="L88" s="270"/>
      <c r="M88" s="270"/>
      <c r="N88" s="270"/>
      <c r="O88" s="271"/>
      <c r="P88" s="270"/>
      <c r="Q88" s="270"/>
      <c r="R88" s="270"/>
      <c r="S88" s="270"/>
      <c r="T88" s="270"/>
      <c r="U88" s="270"/>
      <c r="V88" s="271"/>
      <c r="W88" s="270"/>
      <c r="X88" s="270"/>
      <c r="Y88" s="270"/>
      <c r="Z88" s="270"/>
      <c r="AA88" s="270"/>
      <c r="AB88" s="270"/>
      <c r="AC88" s="271"/>
      <c r="AD88" s="270"/>
      <c r="AE88" s="270"/>
      <c r="AF88" s="270"/>
      <c r="AG88" s="270"/>
      <c r="AH88" s="270"/>
      <c r="AI88" s="270"/>
      <c r="AJ88" s="271"/>
      <c r="AK88" s="270"/>
      <c r="AL88" s="270"/>
      <c r="AM88" s="270"/>
      <c r="AN88" s="270"/>
      <c r="AO88" s="270"/>
      <c r="AP88" s="270"/>
      <c r="AQ88" s="271"/>
      <c r="AR88" s="270"/>
      <c r="AS88" s="270"/>
      <c r="AT88" s="270"/>
      <c r="AU88" s="270"/>
      <c r="AV88" s="270"/>
      <c r="AW88" s="270"/>
      <c r="AX88" s="271"/>
      <c r="AY88" s="270"/>
      <c r="AZ88" s="270"/>
      <c r="BA88" s="270"/>
      <c r="BB88" s="270"/>
      <c r="BC88" s="270"/>
      <c r="BD88" s="270"/>
      <c r="BE88" s="271"/>
      <c r="BF88" s="270"/>
      <c r="BG88" s="270"/>
      <c r="BH88" s="270"/>
      <c r="BI88" s="270"/>
      <c r="BJ88" s="270"/>
      <c r="BK88" s="270"/>
      <c r="BL88" s="271"/>
      <c r="BM88" s="270"/>
      <c r="BN88" s="270"/>
      <c r="BO88" s="270"/>
      <c r="BP88" s="270"/>
      <c r="BQ88" s="270"/>
      <c r="BR88" s="270"/>
      <c r="BS88" s="271"/>
      <c r="BT88" s="270"/>
      <c r="BU88" s="270"/>
      <c r="BV88" s="270"/>
      <c r="BW88" s="270"/>
      <c r="BX88" s="270"/>
      <c r="BY88" s="270"/>
      <c r="BZ88" s="271"/>
      <c r="CA88" s="270"/>
      <c r="CB88" s="270"/>
      <c r="CC88" s="270"/>
      <c r="CD88" s="270"/>
      <c r="CE88" s="270"/>
      <c r="CF88" s="270"/>
      <c r="CG88" s="271"/>
      <c r="CH88" s="270"/>
      <c r="CI88" s="270"/>
      <c r="CJ88" s="270"/>
      <c r="CK88" s="270"/>
      <c r="CL88" s="270"/>
      <c r="CM88" s="270"/>
      <c r="CN88" s="271"/>
      <c r="CO88" s="270"/>
      <c r="CP88" s="270"/>
      <c r="CQ88" s="270"/>
      <c r="CR88" s="270"/>
      <c r="CS88" s="270"/>
      <c r="CT88" s="270"/>
      <c r="CU88" s="271"/>
      <c r="CV88" s="270"/>
      <c r="CW88" s="270"/>
      <c r="CX88" s="270"/>
      <c r="CY88" s="270"/>
      <c r="CZ88" s="270"/>
      <c r="DA88" s="270"/>
      <c r="DB88" s="271"/>
      <c r="DC88" s="270"/>
      <c r="DD88" s="270"/>
      <c r="DE88" s="270"/>
      <c r="DF88" s="270"/>
      <c r="DG88" s="270"/>
      <c r="DH88" s="270"/>
      <c r="DI88" s="271"/>
      <c r="DJ88" s="270"/>
      <c r="DK88" s="270"/>
      <c r="DL88" s="270"/>
      <c r="DM88" s="270"/>
      <c r="DN88" s="270"/>
      <c r="DO88" s="270"/>
      <c r="DP88" s="271"/>
      <c r="DQ88" s="270"/>
      <c r="DR88" s="270"/>
      <c r="DS88" s="270"/>
      <c r="DT88" s="270"/>
      <c r="DU88" s="270"/>
      <c r="DV88" s="270"/>
      <c r="DW88" s="271"/>
      <c r="DX88" s="270"/>
      <c r="DY88" s="270"/>
      <c r="DZ88" s="270"/>
      <c r="EA88" s="270"/>
      <c r="EB88" s="270"/>
      <c r="EC88" s="270"/>
      <c r="ED88" s="271"/>
      <c r="EE88" s="270"/>
      <c r="EF88" s="270"/>
      <c r="EG88" s="270"/>
      <c r="EH88" s="270"/>
      <c r="EI88" s="270"/>
      <c r="EJ88" s="270"/>
      <c r="EK88" s="271"/>
      <c r="EL88" s="270"/>
      <c r="EM88" s="270"/>
      <c r="EN88" s="270"/>
      <c r="EO88" s="270"/>
      <c r="EP88" s="270"/>
      <c r="EQ88" s="270"/>
      <c r="ER88" s="271"/>
      <c r="ES88" s="270"/>
      <c r="ET88" s="270"/>
      <c r="EU88" s="270"/>
      <c r="EV88" s="270"/>
      <c r="EW88" s="270"/>
      <c r="EX88" s="270"/>
      <c r="EY88" s="271"/>
      <c r="EZ88" s="270"/>
      <c r="FA88" s="270"/>
      <c r="FB88" s="270"/>
      <c r="FC88" s="270"/>
      <c r="FD88" s="270"/>
      <c r="FE88" s="270"/>
      <c r="FF88" s="271"/>
      <c r="FG88" s="270"/>
      <c r="FH88" s="270"/>
      <c r="FI88" s="270"/>
      <c r="FJ88" s="270"/>
      <c r="FK88" s="270"/>
      <c r="FL88" s="270"/>
      <c r="FM88" s="271"/>
      <c r="FN88" s="270"/>
      <c r="FO88" s="270"/>
      <c r="FP88" s="270"/>
      <c r="FQ88" s="270"/>
      <c r="FR88" s="270"/>
      <c r="FS88" s="270"/>
      <c r="FT88" s="271"/>
      <c r="FU88" s="270"/>
      <c r="FV88" s="270"/>
      <c r="FW88" s="270"/>
      <c r="FX88" s="270"/>
      <c r="FY88" s="270"/>
      <c r="FZ88" s="270"/>
      <c r="GA88" s="271"/>
    </row>
    <row r="89" spans="1:183" ht="12.75">
      <c r="A89" s="273" t="s">
        <v>264</v>
      </c>
      <c r="B89" s="274">
        <f aca="true" t="shared" si="134" ref="B89:AG89">PRODUCT(B87*40+B86*10+B85*10+B84*14+B83*13+B82*16)</f>
        <v>0</v>
      </c>
      <c r="C89" s="274">
        <f t="shared" si="134"/>
        <v>0</v>
      </c>
      <c r="D89" s="274">
        <f t="shared" si="134"/>
        <v>0</v>
      </c>
      <c r="E89" s="274">
        <f t="shared" si="134"/>
        <v>0</v>
      </c>
      <c r="F89" s="274">
        <f t="shared" si="134"/>
        <v>0</v>
      </c>
      <c r="G89" s="274">
        <f t="shared" si="134"/>
        <v>0</v>
      </c>
      <c r="H89" s="275">
        <f t="shared" si="134"/>
        <v>0</v>
      </c>
      <c r="I89" s="274">
        <f t="shared" si="134"/>
        <v>0</v>
      </c>
      <c r="J89" s="274">
        <f t="shared" si="134"/>
        <v>0</v>
      </c>
      <c r="K89" s="274">
        <f t="shared" si="134"/>
        <v>0</v>
      </c>
      <c r="L89" s="274">
        <f t="shared" si="134"/>
        <v>0</v>
      </c>
      <c r="M89" s="274">
        <f t="shared" si="134"/>
        <v>0</v>
      </c>
      <c r="N89" s="274">
        <f t="shared" si="134"/>
        <v>0</v>
      </c>
      <c r="O89" s="275">
        <f t="shared" si="134"/>
        <v>0</v>
      </c>
      <c r="P89" s="274">
        <f t="shared" si="134"/>
        <v>0</v>
      </c>
      <c r="Q89" s="274">
        <f t="shared" si="134"/>
        <v>0</v>
      </c>
      <c r="R89" s="274">
        <f t="shared" si="134"/>
        <v>0</v>
      </c>
      <c r="S89" s="274">
        <f t="shared" si="134"/>
        <v>0</v>
      </c>
      <c r="T89" s="274">
        <f t="shared" si="134"/>
        <v>0</v>
      </c>
      <c r="U89" s="274">
        <f t="shared" si="134"/>
        <v>0</v>
      </c>
      <c r="V89" s="275">
        <f t="shared" si="134"/>
        <v>0</v>
      </c>
      <c r="W89" s="274">
        <f t="shared" si="134"/>
        <v>0</v>
      </c>
      <c r="X89" s="274">
        <f t="shared" si="134"/>
        <v>0</v>
      </c>
      <c r="Y89" s="274">
        <f t="shared" si="134"/>
        <v>0</v>
      </c>
      <c r="Z89" s="274">
        <f t="shared" si="134"/>
        <v>0</v>
      </c>
      <c r="AA89" s="274">
        <f t="shared" si="134"/>
        <v>0</v>
      </c>
      <c r="AB89" s="274">
        <f t="shared" si="134"/>
        <v>0</v>
      </c>
      <c r="AC89" s="275">
        <f t="shared" si="134"/>
        <v>0</v>
      </c>
      <c r="AD89" s="274">
        <f t="shared" si="134"/>
        <v>0</v>
      </c>
      <c r="AE89" s="274">
        <f t="shared" si="134"/>
        <v>0</v>
      </c>
      <c r="AF89" s="274">
        <f t="shared" si="134"/>
        <v>0</v>
      </c>
      <c r="AG89" s="274">
        <f t="shared" si="134"/>
        <v>0</v>
      </c>
      <c r="AH89" s="274">
        <f aca="true" t="shared" si="135" ref="AH89:BM89">PRODUCT(AH87*40+AH86*10+AH85*10+AH84*14+AH83*13+AH82*16)</f>
        <v>0</v>
      </c>
      <c r="AI89" s="274">
        <f t="shared" si="135"/>
        <v>0</v>
      </c>
      <c r="AJ89" s="275">
        <f t="shared" si="135"/>
        <v>0</v>
      </c>
      <c r="AK89" s="274">
        <f t="shared" si="135"/>
        <v>0</v>
      </c>
      <c r="AL89" s="274">
        <f t="shared" si="135"/>
        <v>0</v>
      </c>
      <c r="AM89" s="274">
        <f t="shared" si="135"/>
        <v>0</v>
      </c>
      <c r="AN89" s="274">
        <f t="shared" si="135"/>
        <v>0</v>
      </c>
      <c r="AO89" s="274">
        <f t="shared" si="135"/>
        <v>0</v>
      </c>
      <c r="AP89" s="274">
        <f t="shared" si="135"/>
        <v>0</v>
      </c>
      <c r="AQ89" s="275">
        <f t="shared" si="135"/>
        <v>0</v>
      </c>
      <c r="AR89" s="274">
        <f t="shared" si="135"/>
        <v>0</v>
      </c>
      <c r="AS89" s="274">
        <f t="shared" si="135"/>
        <v>0</v>
      </c>
      <c r="AT89" s="274">
        <f t="shared" si="135"/>
        <v>0</v>
      </c>
      <c r="AU89" s="274">
        <f t="shared" si="135"/>
        <v>0</v>
      </c>
      <c r="AV89" s="274">
        <f t="shared" si="135"/>
        <v>0</v>
      </c>
      <c r="AW89" s="274">
        <f t="shared" si="135"/>
        <v>0</v>
      </c>
      <c r="AX89" s="275">
        <f t="shared" si="135"/>
        <v>0</v>
      </c>
      <c r="AY89" s="274">
        <f t="shared" si="135"/>
        <v>0</v>
      </c>
      <c r="AZ89" s="274">
        <f t="shared" si="135"/>
        <v>0</v>
      </c>
      <c r="BA89" s="274">
        <f t="shared" si="135"/>
        <v>0</v>
      </c>
      <c r="BB89" s="274">
        <f t="shared" si="135"/>
        <v>0</v>
      </c>
      <c r="BC89" s="274">
        <f t="shared" si="135"/>
        <v>0</v>
      </c>
      <c r="BD89" s="274">
        <f t="shared" si="135"/>
        <v>0</v>
      </c>
      <c r="BE89" s="275">
        <f t="shared" si="135"/>
        <v>0</v>
      </c>
      <c r="BF89" s="274">
        <f t="shared" si="135"/>
        <v>0</v>
      </c>
      <c r="BG89" s="274">
        <f t="shared" si="135"/>
        <v>0</v>
      </c>
      <c r="BH89" s="274">
        <f t="shared" si="135"/>
        <v>0</v>
      </c>
      <c r="BI89" s="274">
        <f t="shared" si="135"/>
        <v>0</v>
      </c>
      <c r="BJ89" s="274">
        <f t="shared" si="135"/>
        <v>0</v>
      </c>
      <c r="BK89" s="274">
        <f t="shared" si="135"/>
        <v>0</v>
      </c>
      <c r="BL89" s="275">
        <f t="shared" si="135"/>
        <v>0</v>
      </c>
      <c r="BM89" s="274">
        <f t="shared" si="135"/>
        <v>0</v>
      </c>
      <c r="BN89" s="274">
        <f aca="true" t="shared" si="136" ref="BN89:CS89">PRODUCT(BN87*40+BN86*10+BN85*10+BN84*14+BN83*13+BN82*16)</f>
        <v>0</v>
      </c>
      <c r="BO89" s="274">
        <f t="shared" si="136"/>
        <v>0</v>
      </c>
      <c r="BP89" s="274">
        <f t="shared" si="136"/>
        <v>0</v>
      </c>
      <c r="BQ89" s="274">
        <f t="shared" si="136"/>
        <v>0</v>
      </c>
      <c r="BR89" s="274">
        <f t="shared" si="136"/>
        <v>0</v>
      </c>
      <c r="BS89" s="275">
        <f t="shared" si="136"/>
        <v>0</v>
      </c>
      <c r="BT89" s="274">
        <f t="shared" si="136"/>
        <v>0</v>
      </c>
      <c r="BU89" s="274">
        <f t="shared" si="136"/>
        <v>0</v>
      </c>
      <c r="BV89" s="274">
        <f t="shared" si="136"/>
        <v>0</v>
      </c>
      <c r="BW89" s="274">
        <f t="shared" si="136"/>
        <v>0</v>
      </c>
      <c r="BX89" s="274">
        <f t="shared" si="136"/>
        <v>0</v>
      </c>
      <c r="BY89" s="274">
        <f t="shared" si="136"/>
        <v>0</v>
      </c>
      <c r="BZ89" s="275">
        <f t="shared" si="136"/>
        <v>0</v>
      </c>
      <c r="CA89" s="274">
        <f t="shared" si="136"/>
        <v>0</v>
      </c>
      <c r="CB89" s="274">
        <f t="shared" si="136"/>
        <v>0</v>
      </c>
      <c r="CC89" s="274">
        <f t="shared" si="136"/>
        <v>0</v>
      </c>
      <c r="CD89" s="274">
        <f t="shared" si="136"/>
        <v>0</v>
      </c>
      <c r="CE89" s="274">
        <f t="shared" si="136"/>
        <v>0</v>
      </c>
      <c r="CF89" s="274">
        <f t="shared" si="136"/>
        <v>0</v>
      </c>
      <c r="CG89" s="275">
        <f t="shared" si="136"/>
        <v>0</v>
      </c>
      <c r="CH89" s="274">
        <f t="shared" si="136"/>
        <v>0</v>
      </c>
      <c r="CI89" s="274">
        <f t="shared" si="136"/>
        <v>0</v>
      </c>
      <c r="CJ89" s="274">
        <f t="shared" si="136"/>
        <v>0</v>
      </c>
      <c r="CK89" s="274">
        <f t="shared" si="136"/>
        <v>0</v>
      </c>
      <c r="CL89" s="274">
        <f t="shared" si="136"/>
        <v>0</v>
      </c>
      <c r="CM89" s="274">
        <f t="shared" si="136"/>
        <v>0</v>
      </c>
      <c r="CN89" s="275">
        <f t="shared" si="136"/>
        <v>0</v>
      </c>
      <c r="CO89" s="274">
        <f t="shared" si="136"/>
        <v>0</v>
      </c>
      <c r="CP89" s="274">
        <f t="shared" si="136"/>
        <v>0</v>
      </c>
      <c r="CQ89" s="274">
        <f t="shared" si="136"/>
        <v>0</v>
      </c>
      <c r="CR89" s="274">
        <f t="shared" si="136"/>
        <v>0</v>
      </c>
      <c r="CS89" s="274">
        <f t="shared" si="136"/>
        <v>0</v>
      </c>
      <c r="CT89" s="274">
        <f aca="true" t="shared" si="137" ref="CT89:DY89">PRODUCT(CT87*40+CT86*10+CT85*10+CT84*14+CT83*13+CT82*16)</f>
        <v>0</v>
      </c>
      <c r="CU89" s="275">
        <f t="shared" si="137"/>
        <v>0</v>
      </c>
      <c r="CV89" s="274">
        <f t="shared" si="137"/>
        <v>0</v>
      </c>
      <c r="CW89" s="274">
        <f t="shared" si="137"/>
        <v>0</v>
      </c>
      <c r="CX89" s="274">
        <f t="shared" si="137"/>
        <v>0</v>
      </c>
      <c r="CY89" s="274">
        <f t="shared" si="137"/>
        <v>0</v>
      </c>
      <c r="CZ89" s="274">
        <f t="shared" si="137"/>
        <v>0</v>
      </c>
      <c r="DA89" s="274">
        <f t="shared" si="137"/>
        <v>0</v>
      </c>
      <c r="DB89" s="275">
        <f t="shared" si="137"/>
        <v>0</v>
      </c>
      <c r="DC89" s="274">
        <f t="shared" si="137"/>
        <v>0</v>
      </c>
      <c r="DD89" s="274">
        <f t="shared" si="137"/>
        <v>0</v>
      </c>
      <c r="DE89" s="274">
        <f t="shared" si="137"/>
        <v>0</v>
      </c>
      <c r="DF89" s="274">
        <f t="shared" si="137"/>
        <v>0</v>
      </c>
      <c r="DG89" s="274">
        <f t="shared" si="137"/>
        <v>0</v>
      </c>
      <c r="DH89" s="274">
        <f t="shared" si="137"/>
        <v>0</v>
      </c>
      <c r="DI89" s="275">
        <f t="shared" si="137"/>
        <v>0</v>
      </c>
      <c r="DJ89" s="274">
        <f t="shared" si="137"/>
        <v>0</v>
      </c>
      <c r="DK89" s="274">
        <f t="shared" si="137"/>
        <v>0</v>
      </c>
      <c r="DL89" s="274">
        <f t="shared" si="137"/>
        <v>0</v>
      </c>
      <c r="DM89" s="274">
        <f t="shared" si="137"/>
        <v>0</v>
      </c>
      <c r="DN89" s="274">
        <f t="shared" si="137"/>
        <v>0</v>
      </c>
      <c r="DO89" s="274">
        <f t="shared" si="137"/>
        <v>0</v>
      </c>
      <c r="DP89" s="275">
        <f t="shared" si="137"/>
        <v>0</v>
      </c>
      <c r="DQ89" s="274">
        <f t="shared" si="137"/>
        <v>0</v>
      </c>
      <c r="DR89" s="274">
        <f t="shared" si="137"/>
        <v>0</v>
      </c>
      <c r="DS89" s="274">
        <f t="shared" si="137"/>
        <v>0</v>
      </c>
      <c r="DT89" s="274">
        <f t="shared" si="137"/>
        <v>0</v>
      </c>
      <c r="DU89" s="274">
        <f t="shared" si="137"/>
        <v>0</v>
      </c>
      <c r="DV89" s="274">
        <f t="shared" si="137"/>
        <v>0</v>
      </c>
      <c r="DW89" s="275">
        <f t="shared" si="137"/>
        <v>0</v>
      </c>
      <c r="DX89" s="274">
        <f t="shared" si="137"/>
        <v>0</v>
      </c>
      <c r="DY89" s="274">
        <f t="shared" si="137"/>
        <v>0</v>
      </c>
      <c r="DZ89" s="274">
        <f aca="true" t="shared" si="138" ref="DZ89:FE89">PRODUCT(DZ87*40+DZ86*10+DZ85*10+DZ84*14+DZ83*13+DZ82*16)</f>
        <v>0</v>
      </c>
      <c r="EA89" s="274">
        <f t="shared" si="138"/>
        <v>0</v>
      </c>
      <c r="EB89" s="274">
        <f t="shared" si="138"/>
        <v>0</v>
      </c>
      <c r="EC89" s="274">
        <f t="shared" si="138"/>
        <v>0</v>
      </c>
      <c r="ED89" s="275">
        <f t="shared" si="138"/>
        <v>0</v>
      </c>
      <c r="EE89" s="274">
        <f t="shared" si="138"/>
        <v>0</v>
      </c>
      <c r="EF89" s="274">
        <f t="shared" si="138"/>
        <v>0</v>
      </c>
      <c r="EG89" s="274">
        <f t="shared" si="138"/>
        <v>0</v>
      </c>
      <c r="EH89" s="274">
        <f t="shared" si="138"/>
        <v>0</v>
      </c>
      <c r="EI89" s="274">
        <f t="shared" si="138"/>
        <v>0</v>
      </c>
      <c r="EJ89" s="274">
        <f t="shared" si="138"/>
        <v>0</v>
      </c>
      <c r="EK89" s="275">
        <f t="shared" si="138"/>
        <v>0</v>
      </c>
      <c r="EL89" s="274">
        <f t="shared" si="138"/>
        <v>0</v>
      </c>
      <c r="EM89" s="274">
        <f t="shared" si="138"/>
        <v>0</v>
      </c>
      <c r="EN89" s="274">
        <f t="shared" si="138"/>
        <v>0</v>
      </c>
      <c r="EO89" s="274">
        <f t="shared" si="138"/>
        <v>0</v>
      </c>
      <c r="EP89" s="274">
        <f t="shared" si="138"/>
        <v>0</v>
      </c>
      <c r="EQ89" s="274">
        <f t="shared" si="138"/>
        <v>0</v>
      </c>
      <c r="ER89" s="275">
        <f t="shared" si="138"/>
        <v>0</v>
      </c>
      <c r="ES89" s="274">
        <f t="shared" si="138"/>
        <v>0</v>
      </c>
      <c r="ET89" s="274">
        <f t="shared" si="138"/>
        <v>0</v>
      </c>
      <c r="EU89" s="274">
        <f t="shared" si="138"/>
        <v>0</v>
      </c>
      <c r="EV89" s="274">
        <f t="shared" si="138"/>
        <v>0</v>
      </c>
      <c r="EW89" s="274">
        <f t="shared" si="138"/>
        <v>0</v>
      </c>
      <c r="EX89" s="274">
        <f t="shared" si="138"/>
        <v>0</v>
      </c>
      <c r="EY89" s="275">
        <f t="shared" si="138"/>
        <v>0</v>
      </c>
      <c r="EZ89" s="274">
        <f t="shared" si="138"/>
        <v>0</v>
      </c>
      <c r="FA89" s="274">
        <f t="shared" si="138"/>
        <v>0</v>
      </c>
      <c r="FB89" s="274">
        <f t="shared" si="138"/>
        <v>0</v>
      </c>
      <c r="FC89" s="274">
        <f t="shared" si="138"/>
        <v>0</v>
      </c>
      <c r="FD89" s="274">
        <f t="shared" si="138"/>
        <v>0</v>
      </c>
      <c r="FE89" s="274">
        <f t="shared" si="138"/>
        <v>0</v>
      </c>
      <c r="FF89" s="275">
        <f aca="true" t="shared" si="139" ref="FF89:GA89">PRODUCT(FF87*40+FF86*10+FF85*10+FF84*14+FF83*13+FF82*16)</f>
        <v>0</v>
      </c>
      <c r="FG89" s="274">
        <f t="shared" si="139"/>
        <v>0</v>
      </c>
      <c r="FH89" s="274">
        <f t="shared" si="139"/>
        <v>0</v>
      </c>
      <c r="FI89" s="274">
        <f t="shared" si="139"/>
        <v>0</v>
      </c>
      <c r="FJ89" s="274">
        <f t="shared" si="139"/>
        <v>0</v>
      </c>
      <c r="FK89" s="274">
        <f t="shared" si="139"/>
        <v>0</v>
      </c>
      <c r="FL89" s="274">
        <f t="shared" si="139"/>
        <v>0</v>
      </c>
      <c r="FM89" s="275">
        <f t="shared" si="139"/>
        <v>0</v>
      </c>
      <c r="FN89" s="274">
        <f t="shared" si="139"/>
        <v>0</v>
      </c>
      <c r="FO89" s="274">
        <f t="shared" si="139"/>
        <v>0</v>
      </c>
      <c r="FP89" s="274">
        <f t="shared" si="139"/>
        <v>0</v>
      </c>
      <c r="FQ89" s="274">
        <f t="shared" si="139"/>
        <v>0</v>
      </c>
      <c r="FR89" s="274">
        <f t="shared" si="139"/>
        <v>0</v>
      </c>
      <c r="FS89" s="274">
        <f t="shared" si="139"/>
        <v>0</v>
      </c>
      <c r="FT89" s="275">
        <f t="shared" si="139"/>
        <v>0</v>
      </c>
      <c r="FU89" s="274">
        <f t="shared" si="139"/>
        <v>0</v>
      </c>
      <c r="FV89" s="274">
        <f t="shared" si="139"/>
        <v>0</v>
      </c>
      <c r="FW89" s="274">
        <f t="shared" si="139"/>
        <v>0</v>
      </c>
      <c r="FX89" s="274">
        <f t="shared" si="139"/>
        <v>0</v>
      </c>
      <c r="FY89" s="274">
        <f t="shared" si="139"/>
        <v>0</v>
      </c>
      <c r="FZ89" s="274">
        <f t="shared" si="139"/>
        <v>0</v>
      </c>
      <c r="GA89" s="275">
        <f t="shared" si="139"/>
        <v>0</v>
      </c>
    </row>
    <row r="90" spans="1:183" ht="12.75">
      <c r="A90" s="276" t="s">
        <v>265</v>
      </c>
      <c r="B90" s="267">
        <f aca="true" t="shared" si="140" ref="B90:AG90">SUM(B91:B96)</f>
        <v>0</v>
      </c>
      <c r="C90" s="267">
        <f t="shared" si="140"/>
        <v>0</v>
      </c>
      <c r="D90" s="267">
        <f t="shared" si="140"/>
        <v>0</v>
      </c>
      <c r="E90" s="267">
        <f t="shared" si="140"/>
        <v>0</v>
      </c>
      <c r="F90" s="267">
        <f t="shared" si="140"/>
        <v>0</v>
      </c>
      <c r="G90" s="267">
        <f t="shared" si="140"/>
        <v>0</v>
      </c>
      <c r="H90" s="268">
        <f t="shared" si="140"/>
        <v>0</v>
      </c>
      <c r="I90" s="267">
        <f t="shared" si="140"/>
        <v>0</v>
      </c>
      <c r="J90" s="267">
        <f t="shared" si="140"/>
        <v>0</v>
      </c>
      <c r="K90" s="267">
        <f t="shared" si="140"/>
        <v>0</v>
      </c>
      <c r="L90" s="267">
        <f t="shared" si="140"/>
        <v>0</v>
      </c>
      <c r="M90" s="267">
        <f t="shared" si="140"/>
        <v>0</v>
      </c>
      <c r="N90" s="267">
        <f t="shared" si="140"/>
        <v>0</v>
      </c>
      <c r="O90" s="268">
        <f t="shared" si="140"/>
        <v>0</v>
      </c>
      <c r="P90" s="267">
        <f t="shared" si="140"/>
        <v>0</v>
      </c>
      <c r="Q90" s="267">
        <f t="shared" si="140"/>
        <v>0</v>
      </c>
      <c r="R90" s="267">
        <f t="shared" si="140"/>
        <v>0</v>
      </c>
      <c r="S90" s="267">
        <f t="shared" si="140"/>
        <v>0</v>
      </c>
      <c r="T90" s="267">
        <f t="shared" si="140"/>
        <v>0</v>
      </c>
      <c r="U90" s="267">
        <f t="shared" si="140"/>
        <v>0</v>
      </c>
      <c r="V90" s="268">
        <f t="shared" si="140"/>
        <v>0</v>
      </c>
      <c r="W90" s="267">
        <f t="shared" si="140"/>
        <v>0</v>
      </c>
      <c r="X90" s="267">
        <f t="shared" si="140"/>
        <v>0</v>
      </c>
      <c r="Y90" s="267">
        <f t="shared" si="140"/>
        <v>0</v>
      </c>
      <c r="Z90" s="267">
        <f t="shared" si="140"/>
        <v>0</v>
      </c>
      <c r="AA90" s="267">
        <f t="shared" si="140"/>
        <v>0</v>
      </c>
      <c r="AB90" s="267">
        <f t="shared" si="140"/>
        <v>0</v>
      </c>
      <c r="AC90" s="268">
        <f t="shared" si="140"/>
        <v>0</v>
      </c>
      <c r="AD90" s="267">
        <f t="shared" si="140"/>
        <v>0</v>
      </c>
      <c r="AE90" s="267">
        <f t="shared" si="140"/>
        <v>0</v>
      </c>
      <c r="AF90" s="267">
        <f t="shared" si="140"/>
        <v>0</v>
      </c>
      <c r="AG90" s="267">
        <f t="shared" si="140"/>
        <v>0</v>
      </c>
      <c r="AH90" s="267">
        <f aca="true" t="shared" si="141" ref="AH90:BM90">SUM(AH91:AH96)</f>
        <v>0</v>
      </c>
      <c r="AI90" s="267">
        <f t="shared" si="141"/>
        <v>0</v>
      </c>
      <c r="AJ90" s="268">
        <f t="shared" si="141"/>
        <v>0</v>
      </c>
      <c r="AK90" s="267">
        <f t="shared" si="141"/>
        <v>0</v>
      </c>
      <c r="AL90" s="267">
        <f t="shared" si="141"/>
        <v>0</v>
      </c>
      <c r="AM90" s="267">
        <f t="shared" si="141"/>
        <v>0</v>
      </c>
      <c r="AN90" s="267">
        <f t="shared" si="141"/>
        <v>0</v>
      </c>
      <c r="AO90" s="267">
        <f t="shared" si="141"/>
        <v>0</v>
      </c>
      <c r="AP90" s="267">
        <f t="shared" si="141"/>
        <v>0</v>
      </c>
      <c r="AQ90" s="268">
        <f t="shared" si="141"/>
        <v>0</v>
      </c>
      <c r="AR90" s="267">
        <f t="shared" si="141"/>
        <v>0</v>
      </c>
      <c r="AS90" s="267">
        <f t="shared" si="141"/>
        <v>0</v>
      </c>
      <c r="AT90" s="267">
        <f t="shared" si="141"/>
        <v>0</v>
      </c>
      <c r="AU90" s="267">
        <f t="shared" si="141"/>
        <v>0</v>
      </c>
      <c r="AV90" s="267">
        <f t="shared" si="141"/>
        <v>0</v>
      </c>
      <c r="AW90" s="267">
        <f t="shared" si="141"/>
        <v>0</v>
      </c>
      <c r="AX90" s="268">
        <f t="shared" si="141"/>
        <v>0</v>
      </c>
      <c r="AY90" s="267">
        <f t="shared" si="141"/>
        <v>0</v>
      </c>
      <c r="AZ90" s="267">
        <f t="shared" si="141"/>
        <v>0</v>
      </c>
      <c r="BA90" s="267">
        <f t="shared" si="141"/>
        <v>0</v>
      </c>
      <c r="BB90" s="267">
        <f t="shared" si="141"/>
        <v>0</v>
      </c>
      <c r="BC90" s="267">
        <f t="shared" si="141"/>
        <v>0</v>
      </c>
      <c r="BD90" s="267">
        <f t="shared" si="141"/>
        <v>0</v>
      </c>
      <c r="BE90" s="268">
        <f t="shared" si="141"/>
        <v>0</v>
      </c>
      <c r="BF90" s="267">
        <f t="shared" si="141"/>
        <v>0</v>
      </c>
      <c r="BG90" s="267">
        <f t="shared" si="141"/>
        <v>0</v>
      </c>
      <c r="BH90" s="267">
        <f t="shared" si="141"/>
        <v>0</v>
      </c>
      <c r="BI90" s="267">
        <f t="shared" si="141"/>
        <v>0</v>
      </c>
      <c r="BJ90" s="267">
        <f t="shared" si="141"/>
        <v>0</v>
      </c>
      <c r="BK90" s="267">
        <f t="shared" si="141"/>
        <v>0</v>
      </c>
      <c r="BL90" s="268">
        <f t="shared" si="141"/>
        <v>0</v>
      </c>
      <c r="BM90" s="267">
        <f t="shared" si="141"/>
        <v>0</v>
      </c>
      <c r="BN90" s="267">
        <f aca="true" t="shared" si="142" ref="BN90:CS90">SUM(BN91:BN96)</f>
        <v>0</v>
      </c>
      <c r="BO90" s="267">
        <f t="shared" si="142"/>
        <v>0</v>
      </c>
      <c r="BP90" s="267">
        <f t="shared" si="142"/>
        <v>0</v>
      </c>
      <c r="BQ90" s="267">
        <f t="shared" si="142"/>
        <v>0</v>
      </c>
      <c r="BR90" s="267">
        <f t="shared" si="142"/>
        <v>0</v>
      </c>
      <c r="BS90" s="268">
        <f t="shared" si="142"/>
        <v>0</v>
      </c>
      <c r="BT90" s="267">
        <f t="shared" si="142"/>
        <v>0</v>
      </c>
      <c r="BU90" s="267">
        <f t="shared" si="142"/>
        <v>0</v>
      </c>
      <c r="BV90" s="267">
        <f t="shared" si="142"/>
        <v>0</v>
      </c>
      <c r="BW90" s="267">
        <f t="shared" si="142"/>
        <v>0</v>
      </c>
      <c r="BX90" s="267">
        <f t="shared" si="142"/>
        <v>0</v>
      </c>
      <c r="BY90" s="267">
        <f t="shared" si="142"/>
        <v>0</v>
      </c>
      <c r="BZ90" s="268">
        <f t="shared" si="142"/>
        <v>0</v>
      </c>
      <c r="CA90" s="267">
        <f t="shared" si="142"/>
        <v>0</v>
      </c>
      <c r="CB90" s="267">
        <f t="shared" si="142"/>
        <v>0</v>
      </c>
      <c r="CC90" s="267">
        <f t="shared" si="142"/>
        <v>0</v>
      </c>
      <c r="CD90" s="267">
        <f t="shared" si="142"/>
        <v>0</v>
      </c>
      <c r="CE90" s="267">
        <f t="shared" si="142"/>
        <v>0</v>
      </c>
      <c r="CF90" s="267">
        <f t="shared" si="142"/>
        <v>0</v>
      </c>
      <c r="CG90" s="268">
        <f t="shared" si="142"/>
        <v>0</v>
      </c>
      <c r="CH90" s="267">
        <f t="shared" si="142"/>
        <v>0</v>
      </c>
      <c r="CI90" s="267">
        <f t="shared" si="142"/>
        <v>0</v>
      </c>
      <c r="CJ90" s="267">
        <f t="shared" si="142"/>
        <v>0</v>
      </c>
      <c r="CK90" s="267">
        <f t="shared" si="142"/>
        <v>0</v>
      </c>
      <c r="CL90" s="267">
        <f t="shared" si="142"/>
        <v>0</v>
      </c>
      <c r="CM90" s="267">
        <f t="shared" si="142"/>
        <v>0</v>
      </c>
      <c r="CN90" s="268">
        <f t="shared" si="142"/>
        <v>0</v>
      </c>
      <c r="CO90" s="267">
        <f t="shared" si="142"/>
        <v>0</v>
      </c>
      <c r="CP90" s="267">
        <f t="shared" si="142"/>
        <v>0</v>
      </c>
      <c r="CQ90" s="267">
        <f t="shared" si="142"/>
        <v>0</v>
      </c>
      <c r="CR90" s="267">
        <f t="shared" si="142"/>
        <v>0</v>
      </c>
      <c r="CS90" s="267">
        <f t="shared" si="142"/>
        <v>0</v>
      </c>
      <c r="CT90" s="267">
        <f aca="true" t="shared" si="143" ref="CT90:DY90">SUM(CT91:CT96)</f>
        <v>0</v>
      </c>
      <c r="CU90" s="268">
        <f t="shared" si="143"/>
        <v>0</v>
      </c>
      <c r="CV90" s="267">
        <f t="shared" si="143"/>
        <v>0</v>
      </c>
      <c r="CW90" s="267">
        <f t="shared" si="143"/>
        <v>0</v>
      </c>
      <c r="CX90" s="267">
        <f t="shared" si="143"/>
        <v>0</v>
      </c>
      <c r="CY90" s="267">
        <f t="shared" si="143"/>
        <v>0</v>
      </c>
      <c r="CZ90" s="267">
        <f t="shared" si="143"/>
        <v>0</v>
      </c>
      <c r="DA90" s="267">
        <f t="shared" si="143"/>
        <v>0</v>
      </c>
      <c r="DB90" s="268">
        <f t="shared" si="143"/>
        <v>0</v>
      </c>
      <c r="DC90" s="267">
        <f t="shared" si="143"/>
        <v>0</v>
      </c>
      <c r="DD90" s="267">
        <f t="shared" si="143"/>
        <v>0</v>
      </c>
      <c r="DE90" s="267">
        <f t="shared" si="143"/>
        <v>0</v>
      </c>
      <c r="DF90" s="267">
        <f t="shared" si="143"/>
        <v>0</v>
      </c>
      <c r="DG90" s="267">
        <f t="shared" si="143"/>
        <v>0</v>
      </c>
      <c r="DH90" s="267">
        <f t="shared" si="143"/>
        <v>0</v>
      </c>
      <c r="DI90" s="268">
        <f t="shared" si="143"/>
        <v>0</v>
      </c>
      <c r="DJ90" s="267">
        <f t="shared" si="143"/>
        <v>0</v>
      </c>
      <c r="DK90" s="267">
        <f t="shared" si="143"/>
        <v>0</v>
      </c>
      <c r="DL90" s="267">
        <f t="shared" si="143"/>
        <v>0</v>
      </c>
      <c r="DM90" s="267">
        <f t="shared" si="143"/>
        <v>0</v>
      </c>
      <c r="DN90" s="267">
        <f t="shared" si="143"/>
        <v>0</v>
      </c>
      <c r="DO90" s="267">
        <f t="shared" si="143"/>
        <v>0</v>
      </c>
      <c r="DP90" s="268">
        <f t="shared" si="143"/>
        <v>0</v>
      </c>
      <c r="DQ90" s="267">
        <f t="shared" si="143"/>
        <v>0</v>
      </c>
      <c r="DR90" s="267">
        <f t="shared" si="143"/>
        <v>0</v>
      </c>
      <c r="DS90" s="267">
        <f t="shared" si="143"/>
        <v>0</v>
      </c>
      <c r="DT90" s="267">
        <f t="shared" si="143"/>
        <v>0</v>
      </c>
      <c r="DU90" s="267">
        <f t="shared" si="143"/>
        <v>0</v>
      </c>
      <c r="DV90" s="267">
        <f t="shared" si="143"/>
        <v>0</v>
      </c>
      <c r="DW90" s="268">
        <f t="shared" si="143"/>
        <v>0</v>
      </c>
      <c r="DX90" s="267">
        <f t="shared" si="143"/>
        <v>0</v>
      </c>
      <c r="DY90" s="267">
        <f t="shared" si="143"/>
        <v>0</v>
      </c>
      <c r="DZ90" s="267">
        <f aca="true" t="shared" si="144" ref="DZ90:FE90">SUM(DZ91:DZ96)</f>
        <v>0</v>
      </c>
      <c r="EA90" s="267">
        <f t="shared" si="144"/>
        <v>0</v>
      </c>
      <c r="EB90" s="267">
        <f t="shared" si="144"/>
        <v>0</v>
      </c>
      <c r="EC90" s="267">
        <f t="shared" si="144"/>
        <v>0</v>
      </c>
      <c r="ED90" s="268">
        <f t="shared" si="144"/>
        <v>0</v>
      </c>
      <c r="EE90" s="267">
        <f t="shared" si="144"/>
        <v>0</v>
      </c>
      <c r="EF90" s="267">
        <f t="shared" si="144"/>
        <v>0</v>
      </c>
      <c r="EG90" s="267">
        <f t="shared" si="144"/>
        <v>0</v>
      </c>
      <c r="EH90" s="267">
        <f t="shared" si="144"/>
        <v>0</v>
      </c>
      <c r="EI90" s="267">
        <f t="shared" si="144"/>
        <v>0</v>
      </c>
      <c r="EJ90" s="267">
        <f t="shared" si="144"/>
        <v>0</v>
      </c>
      <c r="EK90" s="268">
        <f t="shared" si="144"/>
        <v>0</v>
      </c>
      <c r="EL90" s="267">
        <f t="shared" si="144"/>
        <v>0</v>
      </c>
      <c r="EM90" s="267">
        <f t="shared" si="144"/>
        <v>0</v>
      </c>
      <c r="EN90" s="267">
        <f t="shared" si="144"/>
        <v>0</v>
      </c>
      <c r="EO90" s="267">
        <f t="shared" si="144"/>
        <v>0</v>
      </c>
      <c r="EP90" s="267">
        <f t="shared" si="144"/>
        <v>0</v>
      </c>
      <c r="EQ90" s="267">
        <f t="shared" si="144"/>
        <v>0</v>
      </c>
      <c r="ER90" s="268">
        <f t="shared" si="144"/>
        <v>0</v>
      </c>
      <c r="ES90" s="267">
        <f t="shared" si="144"/>
        <v>0</v>
      </c>
      <c r="ET90" s="267">
        <f t="shared" si="144"/>
        <v>0</v>
      </c>
      <c r="EU90" s="267">
        <f t="shared" si="144"/>
        <v>0</v>
      </c>
      <c r="EV90" s="267">
        <f t="shared" si="144"/>
        <v>0</v>
      </c>
      <c r="EW90" s="267">
        <f t="shared" si="144"/>
        <v>0</v>
      </c>
      <c r="EX90" s="267">
        <f t="shared" si="144"/>
        <v>0</v>
      </c>
      <c r="EY90" s="268">
        <f t="shared" si="144"/>
        <v>0</v>
      </c>
      <c r="EZ90" s="267">
        <f t="shared" si="144"/>
        <v>0</v>
      </c>
      <c r="FA90" s="267">
        <f t="shared" si="144"/>
        <v>0</v>
      </c>
      <c r="FB90" s="267">
        <f t="shared" si="144"/>
        <v>0</v>
      </c>
      <c r="FC90" s="267">
        <f t="shared" si="144"/>
        <v>0</v>
      </c>
      <c r="FD90" s="267">
        <f t="shared" si="144"/>
        <v>0</v>
      </c>
      <c r="FE90" s="267">
        <f t="shared" si="144"/>
        <v>0</v>
      </c>
      <c r="FF90" s="268">
        <f aca="true" t="shared" si="145" ref="FF90:GA90">SUM(FF91:FF96)</f>
        <v>0</v>
      </c>
      <c r="FG90" s="267">
        <f t="shared" si="145"/>
        <v>0</v>
      </c>
      <c r="FH90" s="267">
        <f t="shared" si="145"/>
        <v>0</v>
      </c>
      <c r="FI90" s="267">
        <f t="shared" si="145"/>
        <v>0</v>
      </c>
      <c r="FJ90" s="267">
        <f t="shared" si="145"/>
        <v>0</v>
      </c>
      <c r="FK90" s="267">
        <f t="shared" si="145"/>
        <v>0</v>
      </c>
      <c r="FL90" s="267">
        <f t="shared" si="145"/>
        <v>0</v>
      </c>
      <c r="FM90" s="268">
        <f t="shared" si="145"/>
        <v>0</v>
      </c>
      <c r="FN90" s="267">
        <f t="shared" si="145"/>
        <v>0</v>
      </c>
      <c r="FO90" s="267">
        <f t="shared" si="145"/>
        <v>0</v>
      </c>
      <c r="FP90" s="267">
        <f t="shared" si="145"/>
        <v>0</v>
      </c>
      <c r="FQ90" s="267">
        <f t="shared" si="145"/>
        <v>0</v>
      </c>
      <c r="FR90" s="267">
        <f t="shared" si="145"/>
        <v>0</v>
      </c>
      <c r="FS90" s="267">
        <f t="shared" si="145"/>
        <v>0</v>
      </c>
      <c r="FT90" s="268">
        <f t="shared" si="145"/>
        <v>0</v>
      </c>
      <c r="FU90" s="267">
        <f t="shared" si="145"/>
        <v>0</v>
      </c>
      <c r="FV90" s="267">
        <f t="shared" si="145"/>
        <v>0</v>
      </c>
      <c r="FW90" s="267">
        <f t="shared" si="145"/>
        <v>0</v>
      </c>
      <c r="FX90" s="267">
        <f t="shared" si="145"/>
        <v>0</v>
      </c>
      <c r="FY90" s="267">
        <f t="shared" si="145"/>
        <v>0</v>
      </c>
      <c r="FZ90" s="267">
        <f t="shared" si="145"/>
        <v>0</v>
      </c>
      <c r="GA90" s="268">
        <f t="shared" si="145"/>
        <v>0</v>
      </c>
    </row>
    <row r="91" spans="1:183" ht="12.75">
      <c r="A91" s="269" t="s">
        <v>0</v>
      </c>
      <c r="B91" s="270"/>
      <c r="C91" s="270"/>
      <c r="D91" s="270"/>
      <c r="E91" s="270"/>
      <c r="F91" s="270"/>
      <c r="G91" s="270"/>
      <c r="H91" s="271"/>
      <c r="I91" s="270"/>
      <c r="J91" s="270"/>
      <c r="K91" s="270"/>
      <c r="L91" s="270"/>
      <c r="M91" s="270"/>
      <c r="N91" s="270"/>
      <c r="O91" s="271"/>
      <c r="P91" s="270"/>
      <c r="Q91" s="270"/>
      <c r="R91" s="270"/>
      <c r="S91" s="270"/>
      <c r="T91" s="270"/>
      <c r="U91" s="270"/>
      <c r="V91" s="271"/>
      <c r="W91" s="270"/>
      <c r="X91" s="270"/>
      <c r="Y91" s="270"/>
      <c r="Z91" s="270"/>
      <c r="AA91" s="270"/>
      <c r="AB91" s="270"/>
      <c r="AC91" s="271"/>
      <c r="AD91" s="270"/>
      <c r="AE91" s="270"/>
      <c r="AF91" s="270"/>
      <c r="AG91" s="270"/>
      <c r="AH91" s="270"/>
      <c r="AI91" s="270"/>
      <c r="AJ91" s="271"/>
      <c r="AK91" s="270"/>
      <c r="AL91" s="270"/>
      <c r="AM91" s="270"/>
      <c r="AN91" s="270"/>
      <c r="AO91" s="270"/>
      <c r="AP91" s="270"/>
      <c r="AQ91" s="271"/>
      <c r="AR91" s="270"/>
      <c r="AS91" s="270"/>
      <c r="AT91" s="270"/>
      <c r="AU91" s="270"/>
      <c r="AV91" s="270"/>
      <c r="AW91" s="270"/>
      <c r="AX91" s="271"/>
      <c r="AY91" s="270"/>
      <c r="AZ91" s="270"/>
      <c r="BA91" s="270"/>
      <c r="BB91" s="270"/>
      <c r="BC91" s="270"/>
      <c r="BD91" s="270"/>
      <c r="BE91" s="271"/>
      <c r="BF91" s="270"/>
      <c r="BG91" s="270"/>
      <c r="BH91" s="270"/>
      <c r="BI91" s="270"/>
      <c r="BJ91" s="270"/>
      <c r="BK91" s="270"/>
      <c r="BL91" s="271"/>
      <c r="BM91" s="270"/>
      <c r="BN91" s="270"/>
      <c r="BO91" s="270"/>
      <c r="BP91" s="270"/>
      <c r="BQ91" s="270"/>
      <c r="BR91" s="270"/>
      <c r="BS91" s="271"/>
      <c r="BT91" s="270"/>
      <c r="BU91" s="270"/>
      <c r="BV91" s="270"/>
      <c r="BW91" s="270"/>
      <c r="BX91" s="270"/>
      <c r="BY91" s="270"/>
      <c r="BZ91" s="271"/>
      <c r="CA91" s="270"/>
      <c r="CB91" s="270"/>
      <c r="CC91" s="270"/>
      <c r="CD91" s="270"/>
      <c r="CE91" s="270"/>
      <c r="CF91" s="270"/>
      <c r="CG91" s="271"/>
      <c r="CH91" s="270"/>
      <c r="CI91" s="270"/>
      <c r="CJ91" s="270"/>
      <c r="CK91" s="270"/>
      <c r="CL91" s="270"/>
      <c r="CM91" s="270"/>
      <c r="CN91" s="271"/>
      <c r="CO91" s="270"/>
      <c r="CP91" s="270"/>
      <c r="CQ91" s="270"/>
      <c r="CR91" s="270"/>
      <c r="CS91" s="270"/>
      <c r="CT91" s="270"/>
      <c r="CU91" s="271"/>
      <c r="CV91" s="270"/>
      <c r="CW91" s="270"/>
      <c r="CX91" s="270"/>
      <c r="CY91" s="270"/>
      <c r="CZ91" s="270"/>
      <c r="DA91" s="270"/>
      <c r="DB91" s="271"/>
      <c r="DC91" s="270"/>
      <c r="DD91" s="270"/>
      <c r="DE91" s="270"/>
      <c r="DF91" s="270"/>
      <c r="DG91" s="270"/>
      <c r="DH91" s="270"/>
      <c r="DI91" s="271"/>
      <c r="DJ91" s="270"/>
      <c r="DK91" s="270"/>
      <c r="DL91" s="270"/>
      <c r="DM91" s="270"/>
      <c r="DN91" s="270"/>
      <c r="DO91" s="270"/>
      <c r="DP91" s="271"/>
      <c r="DQ91" s="270"/>
      <c r="DR91" s="270"/>
      <c r="DS91" s="270"/>
      <c r="DT91" s="270"/>
      <c r="DU91" s="270"/>
      <c r="DV91" s="270"/>
      <c r="DW91" s="271"/>
      <c r="DX91" s="270"/>
      <c r="DY91" s="270"/>
      <c r="DZ91" s="270"/>
      <c r="EA91" s="270"/>
      <c r="EB91" s="270"/>
      <c r="EC91" s="270"/>
      <c r="ED91" s="271"/>
      <c r="EE91" s="270"/>
      <c r="EF91" s="270"/>
      <c r="EG91" s="270"/>
      <c r="EH91" s="270"/>
      <c r="EI91" s="270"/>
      <c r="EJ91" s="270"/>
      <c r="EK91" s="271"/>
      <c r="EL91" s="270"/>
      <c r="EM91" s="270"/>
      <c r="EN91" s="270"/>
      <c r="EO91" s="270"/>
      <c r="EP91" s="270"/>
      <c r="EQ91" s="270"/>
      <c r="ER91" s="271"/>
      <c r="ES91" s="270"/>
      <c r="ET91" s="270"/>
      <c r="EU91" s="270"/>
      <c r="EV91" s="270"/>
      <c r="EW91" s="270"/>
      <c r="EX91" s="270"/>
      <c r="EY91" s="271"/>
      <c r="EZ91" s="270"/>
      <c r="FA91" s="270"/>
      <c r="FB91" s="270"/>
      <c r="FC91" s="270"/>
      <c r="FD91" s="270"/>
      <c r="FE91" s="270"/>
      <c r="FF91" s="271"/>
      <c r="FG91" s="270"/>
      <c r="FH91" s="270"/>
      <c r="FI91" s="270"/>
      <c r="FJ91" s="270"/>
      <c r="FK91" s="270"/>
      <c r="FL91" s="270"/>
      <c r="FM91" s="271"/>
      <c r="FN91" s="270"/>
      <c r="FO91" s="270"/>
      <c r="FP91" s="270"/>
      <c r="FQ91" s="270"/>
      <c r="FR91" s="270"/>
      <c r="FS91" s="270"/>
      <c r="FT91" s="271"/>
      <c r="FU91" s="270"/>
      <c r="FV91" s="270"/>
      <c r="FW91" s="270"/>
      <c r="FX91" s="270"/>
      <c r="FY91" s="270"/>
      <c r="FZ91" s="270"/>
      <c r="GA91" s="271"/>
    </row>
    <row r="92" spans="1:183" ht="12.75">
      <c r="A92" s="269" t="s">
        <v>1</v>
      </c>
      <c r="B92" s="270"/>
      <c r="C92" s="270"/>
      <c r="D92" s="270"/>
      <c r="E92" s="270"/>
      <c r="F92" s="270"/>
      <c r="G92" s="270"/>
      <c r="H92" s="271"/>
      <c r="I92" s="270"/>
      <c r="J92" s="270"/>
      <c r="K92" s="270"/>
      <c r="L92" s="270"/>
      <c r="M92" s="270"/>
      <c r="N92" s="270"/>
      <c r="O92" s="271"/>
      <c r="P92" s="270"/>
      <c r="Q92" s="270"/>
      <c r="R92" s="270"/>
      <c r="S92" s="270"/>
      <c r="T92" s="270"/>
      <c r="U92" s="270"/>
      <c r="V92" s="271"/>
      <c r="W92" s="270"/>
      <c r="X92" s="270"/>
      <c r="Y92" s="270"/>
      <c r="Z92" s="270"/>
      <c r="AA92" s="270"/>
      <c r="AB92" s="270"/>
      <c r="AC92" s="271"/>
      <c r="AD92" s="270"/>
      <c r="AE92" s="270"/>
      <c r="AF92" s="270"/>
      <c r="AG92" s="270"/>
      <c r="AH92" s="270"/>
      <c r="AI92" s="270"/>
      <c r="AJ92" s="271"/>
      <c r="AK92" s="270"/>
      <c r="AL92" s="270"/>
      <c r="AM92" s="270"/>
      <c r="AN92" s="270"/>
      <c r="AO92" s="270"/>
      <c r="AP92" s="270"/>
      <c r="AQ92" s="271"/>
      <c r="AR92" s="270"/>
      <c r="AS92" s="270"/>
      <c r="AT92" s="270"/>
      <c r="AU92" s="270"/>
      <c r="AV92" s="270"/>
      <c r="AW92" s="270"/>
      <c r="AX92" s="271"/>
      <c r="AY92" s="270"/>
      <c r="AZ92" s="270"/>
      <c r="BA92" s="270"/>
      <c r="BB92" s="270"/>
      <c r="BC92" s="270"/>
      <c r="BD92" s="270"/>
      <c r="BE92" s="271"/>
      <c r="BF92" s="270"/>
      <c r="BG92" s="270"/>
      <c r="BH92" s="270"/>
      <c r="BI92" s="270"/>
      <c r="BJ92" s="270"/>
      <c r="BK92" s="270"/>
      <c r="BL92" s="271"/>
      <c r="BM92" s="270"/>
      <c r="BN92" s="270"/>
      <c r="BO92" s="270"/>
      <c r="BP92" s="270"/>
      <c r="BQ92" s="270"/>
      <c r="BR92" s="270"/>
      <c r="BS92" s="271"/>
      <c r="BT92" s="270"/>
      <c r="BU92" s="270"/>
      <c r="BV92" s="270"/>
      <c r="BW92" s="270"/>
      <c r="BX92" s="270"/>
      <c r="BY92" s="270"/>
      <c r="BZ92" s="271"/>
      <c r="CA92" s="270"/>
      <c r="CB92" s="270"/>
      <c r="CC92" s="270"/>
      <c r="CD92" s="270"/>
      <c r="CE92" s="270"/>
      <c r="CF92" s="270"/>
      <c r="CG92" s="271"/>
      <c r="CH92" s="270"/>
      <c r="CI92" s="270"/>
      <c r="CJ92" s="270"/>
      <c r="CK92" s="270"/>
      <c r="CL92" s="270"/>
      <c r="CM92" s="270"/>
      <c r="CN92" s="271"/>
      <c r="CO92" s="270"/>
      <c r="CP92" s="270"/>
      <c r="CQ92" s="270"/>
      <c r="CR92" s="270"/>
      <c r="CS92" s="270"/>
      <c r="CT92" s="270"/>
      <c r="CU92" s="271"/>
      <c r="CV92" s="270"/>
      <c r="CW92" s="270"/>
      <c r="CX92" s="270"/>
      <c r="CY92" s="270"/>
      <c r="CZ92" s="270"/>
      <c r="DA92" s="270"/>
      <c r="DB92" s="271"/>
      <c r="DC92" s="270"/>
      <c r="DD92" s="270"/>
      <c r="DE92" s="270"/>
      <c r="DF92" s="270"/>
      <c r="DG92" s="270"/>
      <c r="DH92" s="270"/>
      <c r="DI92" s="271"/>
      <c r="DJ92" s="270"/>
      <c r="DK92" s="270"/>
      <c r="DL92" s="270"/>
      <c r="DM92" s="270"/>
      <c r="DN92" s="270"/>
      <c r="DO92" s="270"/>
      <c r="DP92" s="271"/>
      <c r="DQ92" s="270"/>
      <c r="DR92" s="270"/>
      <c r="DS92" s="270"/>
      <c r="DT92" s="270"/>
      <c r="DU92" s="270"/>
      <c r="DV92" s="270"/>
      <c r="DW92" s="271"/>
      <c r="DX92" s="270"/>
      <c r="DY92" s="270"/>
      <c r="DZ92" s="270"/>
      <c r="EA92" s="270"/>
      <c r="EB92" s="270"/>
      <c r="EC92" s="270"/>
      <c r="ED92" s="271"/>
      <c r="EE92" s="270"/>
      <c r="EF92" s="270"/>
      <c r="EG92" s="270"/>
      <c r="EH92" s="270"/>
      <c r="EI92" s="270"/>
      <c r="EJ92" s="270"/>
      <c r="EK92" s="271"/>
      <c r="EL92" s="270"/>
      <c r="EM92" s="270"/>
      <c r="EN92" s="270"/>
      <c r="EO92" s="270"/>
      <c r="EP92" s="270"/>
      <c r="EQ92" s="270"/>
      <c r="ER92" s="271"/>
      <c r="ES92" s="270"/>
      <c r="ET92" s="270"/>
      <c r="EU92" s="270"/>
      <c r="EV92" s="270"/>
      <c r="EW92" s="270"/>
      <c r="EX92" s="270"/>
      <c r="EY92" s="271"/>
      <c r="EZ92" s="270"/>
      <c r="FA92" s="270"/>
      <c r="FB92" s="270"/>
      <c r="FC92" s="270"/>
      <c r="FD92" s="270"/>
      <c r="FE92" s="270"/>
      <c r="FF92" s="271"/>
      <c r="FG92" s="270"/>
      <c r="FH92" s="270"/>
      <c r="FI92" s="270"/>
      <c r="FJ92" s="270"/>
      <c r="FK92" s="270"/>
      <c r="FL92" s="270"/>
      <c r="FM92" s="271"/>
      <c r="FN92" s="270"/>
      <c r="FO92" s="270"/>
      <c r="FP92" s="270"/>
      <c r="FQ92" s="270"/>
      <c r="FR92" s="270"/>
      <c r="FS92" s="270"/>
      <c r="FT92" s="271"/>
      <c r="FU92" s="270"/>
      <c r="FV92" s="270"/>
      <c r="FW92" s="270"/>
      <c r="FX92" s="270"/>
      <c r="FY92" s="270"/>
      <c r="FZ92" s="270"/>
      <c r="GA92" s="271"/>
    </row>
    <row r="93" spans="1:183" ht="12.75">
      <c r="A93" s="269" t="s">
        <v>260</v>
      </c>
      <c r="B93" s="270"/>
      <c r="C93" s="270"/>
      <c r="D93" s="270"/>
      <c r="E93" s="270"/>
      <c r="F93" s="270"/>
      <c r="G93" s="270"/>
      <c r="H93" s="271"/>
      <c r="I93" s="270"/>
      <c r="J93" s="270"/>
      <c r="K93" s="270"/>
      <c r="L93" s="270"/>
      <c r="M93" s="270"/>
      <c r="N93" s="270"/>
      <c r="O93" s="271"/>
      <c r="P93" s="270"/>
      <c r="Q93" s="270"/>
      <c r="R93" s="270"/>
      <c r="S93" s="270"/>
      <c r="T93" s="270"/>
      <c r="U93" s="270"/>
      <c r="V93" s="271"/>
      <c r="W93" s="270"/>
      <c r="X93" s="270"/>
      <c r="Y93" s="270"/>
      <c r="Z93" s="270"/>
      <c r="AA93" s="270"/>
      <c r="AB93" s="270"/>
      <c r="AC93" s="271"/>
      <c r="AD93" s="270"/>
      <c r="AE93" s="270"/>
      <c r="AF93" s="270"/>
      <c r="AG93" s="270"/>
      <c r="AH93" s="270"/>
      <c r="AI93" s="270"/>
      <c r="AJ93" s="271"/>
      <c r="AK93" s="270"/>
      <c r="AL93" s="270"/>
      <c r="AM93" s="270"/>
      <c r="AN93" s="270"/>
      <c r="AO93" s="270"/>
      <c r="AP93" s="270"/>
      <c r="AQ93" s="271"/>
      <c r="AR93" s="270"/>
      <c r="AS93" s="270"/>
      <c r="AT93" s="270"/>
      <c r="AU93" s="270"/>
      <c r="AV93" s="270"/>
      <c r="AW93" s="270"/>
      <c r="AX93" s="271"/>
      <c r="AY93" s="270"/>
      <c r="AZ93" s="270"/>
      <c r="BA93" s="270"/>
      <c r="BB93" s="270"/>
      <c r="BC93" s="270"/>
      <c r="BD93" s="270"/>
      <c r="BE93" s="271"/>
      <c r="BF93" s="270"/>
      <c r="BG93" s="270"/>
      <c r="BH93" s="270"/>
      <c r="BI93" s="270"/>
      <c r="BJ93" s="270"/>
      <c r="BK93" s="270"/>
      <c r="BL93" s="271"/>
      <c r="BM93" s="270"/>
      <c r="BN93" s="270"/>
      <c r="BO93" s="270"/>
      <c r="BP93" s="270"/>
      <c r="BQ93" s="270"/>
      <c r="BR93" s="270"/>
      <c r="BS93" s="271"/>
      <c r="BT93" s="270"/>
      <c r="BU93" s="270"/>
      <c r="BV93" s="270"/>
      <c r="BW93" s="270"/>
      <c r="BX93" s="270"/>
      <c r="BY93" s="270"/>
      <c r="BZ93" s="271"/>
      <c r="CA93" s="270"/>
      <c r="CB93" s="270"/>
      <c r="CC93" s="270"/>
      <c r="CD93" s="270"/>
      <c r="CE93" s="270"/>
      <c r="CF93" s="270"/>
      <c r="CG93" s="271"/>
      <c r="CH93" s="270"/>
      <c r="CI93" s="270"/>
      <c r="CJ93" s="270"/>
      <c r="CK93" s="270"/>
      <c r="CL93" s="270"/>
      <c r="CM93" s="270"/>
      <c r="CN93" s="271"/>
      <c r="CO93" s="270"/>
      <c r="CP93" s="270"/>
      <c r="CQ93" s="270"/>
      <c r="CR93" s="270"/>
      <c r="CS93" s="270"/>
      <c r="CT93" s="270"/>
      <c r="CU93" s="271"/>
      <c r="CV93" s="270"/>
      <c r="CW93" s="270"/>
      <c r="CX93" s="270"/>
      <c r="CY93" s="270"/>
      <c r="CZ93" s="270"/>
      <c r="DA93" s="270"/>
      <c r="DB93" s="271"/>
      <c r="DC93" s="270"/>
      <c r="DD93" s="270"/>
      <c r="DE93" s="270"/>
      <c r="DF93" s="270"/>
      <c r="DG93" s="270"/>
      <c r="DH93" s="270"/>
      <c r="DI93" s="271"/>
      <c r="DJ93" s="270"/>
      <c r="DK93" s="270"/>
      <c r="DL93" s="270"/>
      <c r="DM93" s="270"/>
      <c r="DN93" s="270"/>
      <c r="DO93" s="270"/>
      <c r="DP93" s="271"/>
      <c r="DQ93" s="270"/>
      <c r="DR93" s="270"/>
      <c r="DS93" s="270"/>
      <c r="DT93" s="270"/>
      <c r="DU93" s="270"/>
      <c r="DV93" s="270"/>
      <c r="DW93" s="271"/>
      <c r="DX93" s="270"/>
      <c r="DY93" s="270"/>
      <c r="DZ93" s="270"/>
      <c r="EA93" s="270"/>
      <c r="EB93" s="270"/>
      <c r="EC93" s="270"/>
      <c r="ED93" s="271"/>
      <c r="EE93" s="270"/>
      <c r="EF93" s="270"/>
      <c r="EG93" s="270"/>
      <c r="EH93" s="270"/>
      <c r="EI93" s="270"/>
      <c r="EJ93" s="270"/>
      <c r="EK93" s="271"/>
      <c r="EL93" s="270"/>
      <c r="EM93" s="270"/>
      <c r="EN93" s="270"/>
      <c r="EO93" s="270"/>
      <c r="EP93" s="270"/>
      <c r="EQ93" s="270"/>
      <c r="ER93" s="271"/>
      <c r="ES93" s="270"/>
      <c r="ET93" s="270"/>
      <c r="EU93" s="270"/>
      <c r="EV93" s="270"/>
      <c r="EW93" s="270"/>
      <c r="EX93" s="270"/>
      <c r="EY93" s="271"/>
      <c r="EZ93" s="270"/>
      <c r="FA93" s="270"/>
      <c r="FB93" s="270"/>
      <c r="FC93" s="270"/>
      <c r="FD93" s="270"/>
      <c r="FE93" s="270"/>
      <c r="FF93" s="271"/>
      <c r="FG93" s="270"/>
      <c r="FH93" s="270"/>
      <c r="FI93" s="270"/>
      <c r="FJ93" s="270"/>
      <c r="FK93" s="270"/>
      <c r="FL93" s="270"/>
      <c r="FM93" s="271"/>
      <c r="FN93" s="270"/>
      <c r="FO93" s="270"/>
      <c r="FP93" s="270"/>
      <c r="FQ93" s="270"/>
      <c r="FR93" s="270"/>
      <c r="FS93" s="270"/>
      <c r="FT93" s="271"/>
      <c r="FU93" s="270"/>
      <c r="FV93" s="270"/>
      <c r="FW93" s="270"/>
      <c r="FX93" s="270"/>
      <c r="FY93" s="270"/>
      <c r="FZ93" s="270"/>
      <c r="GA93" s="271"/>
    </row>
    <row r="94" spans="1:183" ht="12.75">
      <c r="A94" s="269" t="s">
        <v>261</v>
      </c>
      <c r="B94" s="270"/>
      <c r="C94" s="270"/>
      <c r="D94" s="270"/>
      <c r="E94" s="270"/>
      <c r="F94" s="270"/>
      <c r="G94" s="270"/>
      <c r="H94" s="271"/>
      <c r="I94" s="270"/>
      <c r="J94" s="270"/>
      <c r="K94" s="270"/>
      <c r="L94" s="270"/>
      <c r="M94" s="270"/>
      <c r="N94" s="270"/>
      <c r="O94" s="271"/>
      <c r="P94" s="270"/>
      <c r="Q94" s="270"/>
      <c r="R94" s="270"/>
      <c r="S94" s="270"/>
      <c r="T94" s="270"/>
      <c r="U94" s="270"/>
      <c r="V94" s="271"/>
      <c r="W94" s="270"/>
      <c r="X94" s="270"/>
      <c r="Y94" s="270"/>
      <c r="Z94" s="270"/>
      <c r="AA94" s="270"/>
      <c r="AB94" s="270"/>
      <c r="AC94" s="271"/>
      <c r="AD94" s="270"/>
      <c r="AE94" s="270"/>
      <c r="AF94" s="270"/>
      <c r="AG94" s="270"/>
      <c r="AH94" s="270"/>
      <c r="AI94" s="270"/>
      <c r="AJ94" s="271"/>
      <c r="AK94" s="270"/>
      <c r="AL94" s="270"/>
      <c r="AM94" s="270"/>
      <c r="AN94" s="270"/>
      <c r="AO94" s="270"/>
      <c r="AP94" s="270"/>
      <c r="AQ94" s="271"/>
      <c r="AR94" s="270"/>
      <c r="AS94" s="270"/>
      <c r="AT94" s="270"/>
      <c r="AU94" s="270"/>
      <c r="AV94" s="270"/>
      <c r="AW94" s="270"/>
      <c r="AX94" s="271"/>
      <c r="AY94" s="270"/>
      <c r="AZ94" s="270"/>
      <c r="BA94" s="270"/>
      <c r="BB94" s="270"/>
      <c r="BC94" s="270"/>
      <c r="BD94" s="270"/>
      <c r="BE94" s="271"/>
      <c r="BF94" s="270"/>
      <c r="BG94" s="270"/>
      <c r="BH94" s="270"/>
      <c r="BI94" s="270"/>
      <c r="BJ94" s="270"/>
      <c r="BK94" s="270"/>
      <c r="BL94" s="271"/>
      <c r="BM94" s="270"/>
      <c r="BN94" s="270"/>
      <c r="BO94" s="270"/>
      <c r="BP94" s="270"/>
      <c r="BQ94" s="270"/>
      <c r="BR94" s="270"/>
      <c r="BS94" s="271"/>
      <c r="BT94" s="270"/>
      <c r="BU94" s="270"/>
      <c r="BV94" s="270"/>
      <c r="BW94" s="270"/>
      <c r="BX94" s="270"/>
      <c r="BY94" s="270"/>
      <c r="BZ94" s="271"/>
      <c r="CA94" s="270"/>
      <c r="CB94" s="270"/>
      <c r="CC94" s="270"/>
      <c r="CD94" s="270"/>
      <c r="CE94" s="270"/>
      <c r="CF94" s="270"/>
      <c r="CG94" s="271"/>
      <c r="CH94" s="270"/>
      <c r="CI94" s="270"/>
      <c r="CJ94" s="270"/>
      <c r="CK94" s="270"/>
      <c r="CL94" s="270"/>
      <c r="CM94" s="270"/>
      <c r="CN94" s="271"/>
      <c r="CO94" s="270"/>
      <c r="CP94" s="270"/>
      <c r="CQ94" s="270"/>
      <c r="CR94" s="270"/>
      <c r="CS94" s="270"/>
      <c r="CT94" s="270"/>
      <c r="CU94" s="271"/>
      <c r="CV94" s="270"/>
      <c r="CW94" s="270"/>
      <c r="CX94" s="270"/>
      <c r="CY94" s="270"/>
      <c r="CZ94" s="270"/>
      <c r="DA94" s="270"/>
      <c r="DB94" s="271"/>
      <c r="DC94" s="270"/>
      <c r="DD94" s="270"/>
      <c r="DE94" s="270"/>
      <c r="DF94" s="270"/>
      <c r="DG94" s="270"/>
      <c r="DH94" s="270"/>
      <c r="DI94" s="271"/>
      <c r="DJ94" s="270"/>
      <c r="DK94" s="270"/>
      <c r="DL94" s="270"/>
      <c r="DM94" s="270"/>
      <c r="DN94" s="270"/>
      <c r="DO94" s="270"/>
      <c r="DP94" s="271"/>
      <c r="DQ94" s="270"/>
      <c r="DR94" s="270"/>
      <c r="DS94" s="270"/>
      <c r="DT94" s="270"/>
      <c r="DU94" s="270"/>
      <c r="DV94" s="270"/>
      <c r="DW94" s="271"/>
      <c r="DX94" s="270"/>
      <c r="DY94" s="270"/>
      <c r="DZ94" s="270"/>
      <c r="EA94" s="270"/>
      <c r="EB94" s="270"/>
      <c r="EC94" s="270"/>
      <c r="ED94" s="271"/>
      <c r="EE94" s="270"/>
      <c r="EF94" s="270"/>
      <c r="EG94" s="270"/>
      <c r="EH94" s="270"/>
      <c r="EI94" s="270"/>
      <c r="EJ94" s="270"/>
      <c r="EK94" s="271"/>
      <c r="EL94" s="270"/>
      <c r="EM94" s="270"/>
      <c r="EN94" s="270"/>
      <c r="EO94" s="270"/>
      <c r="EP94" s="270"/>
      <c r="EQ94" s="270"/>
      <c r="ER94" s="271"/>
      <c r="ES94" s="270"/>
      <c r="ET94" s="270"/>
      <c r="EU94" s="270"/>
      <c r="EV94" s="270"/>
      <c r="EW94" s="270"/>
      <c r="EX94" s="270"/>
      <c r="EY94" s="271"/>
      <c r="EZ94" s="270"/>
      <c r="FA94" s="270"/>
      <c r="FB94" s="270"/>
      <c r="FC94" s="270"/>
      <c r="FD94" s="270"/>
      <c r="FE94" s="270"/>
      <c r="FF94" s="271"/>
      <c r="FG94" s="270"/>
      <c r="FH94" s="270"/>
      <c r="FI94" s="270"/>
      <c r="FJ94" s="270"/>
      <c r="FK94" s="270"/>
      <c r="FL94" s="270"/>
      <c r="FM94" s="271"/>
      <c r="FN94" s="270"/>
      <c r="FO94" s="270"/>
      <c r="FP94" s="270"/>
      <c r="FQ94" s="270"/>
      <c r="FR94" s="270"/>
      <c r="FS94" s="270"/>
      <c r="FT94" s="271"/>
      <c r="FU94" s="270"/>
      <c r="FV94" s="270"/>
      <c r="FW94" s="270"/>
      <c r="FX94" s="270"/>
      <c r="FY94" s="270"/>
      <c r="FZ94" s="270"/>
      <c r="GA94" s="271"/>
    </row>
    <row r="95" spans="1:183" ht="12.75">
      <c r="A95" s="269" t="s">
        <v>2</v>
      </c>
      <c r="B95" s="270"/>
      <c r="C95" s="270"/>
      <c r="D95" s="270"/>
      <c r="E95" s="270"/>
      <c r="F95" s="270"/>
      <c r="G95" s="270"/>
      <c r="H95" s="271"/>
      <c r="I95" s="270"/>
      <c r="J95" s="270"/>
      <c r="K95" s="270"/>
      <c r="L95" s="270"/>
      <c r="M95" s="270"/>
      <c r="N95" s="270"/>
      <c r="O95" s="271"/>
      <c r="P95" s="270"/>
      <c r="Q95" s="270"/>
      <c r="R95" s="270"/>
      <c r="S95" s="270"/>
      <c r="T95" s="270"/>
      <c r="U95" s="270"/>
      <c r="V95" s="271"/>
      <c r="W95" s="270"/>
      <c r="X95" s="270"/>
      <c r="Y95" s="270"/>
      <c r="Z95" s="270"/>
      <c r="AA95" s="270"/>
      <c r="AB95" s="270"/>
      <c r="AC95" s="271"/>
      <c r="AD95" s="270"/>
      <c r="AE95" s="270"/>
      <c r="AF95" s="270"/>
      <c r="AG95" s="270"/>
      <c r="AH95" s="270"/>
      <c r="AI95" s="270"/>
      <c r="AJ95" s="271"/>
      <c r="AK95" s="270"/>
      <c r="AL95" s="270"/>
      <c r="AM95" s="270"/>
      <c r="AN95" s="270"/>
      <c r="AO95" s="270"/>
      <c r="AP95" s="270"/>
      <c r="AQ95" s="271"/>
      <c r="AR95" s="270"/>
      <c r="AS95" s="270"/>
      <c r="AT95" s="270"/>
      <c r="AU95" s="270"/>
      <c r="AV95" s="270"/>
      <c r="AW95" s="270"/>
      <c r="AX95" s="271"/>
      <c r="AY95" s="270"/>
      <c r="AZ95" s="270"/>
      <c r="BA95" s="270"/>
      <c r="BB95" s="270"/>
      <c r="BC95" s="270"/>
      <c r="BD95" s="270"/>
      <c r="BE95" s="271"/>
      <c r="BF95" s="270"/>
      <c r="BG95" s="270"/>
      <c r="BH95" s="270"/>
      <c r="BI95" s="270"/>
      <c r="BJ95" s="270"/>
      <c r="BK95" s="270"/>
      <c r="BL95" s="271"/>
      <c r="BM95" s="270"/>
      <c r="BN95" s="270"/>
      <c r="BO95" s="270"/>
      <c r="BP95" s="270"/>
      <c r="BQ95" s="270"/>
      <c r="BR95" s="270"/>
      <c r="BS95" s="271"/>
      <c r="BT95" s="270"/>
      <c r="BU95" s="270"/>
      <c r="BV95" s="270"/>
      <c r="BW95" s="270"/>
      <c r="BX95" s="270"/>
      <c r="BY95" s="270"/>
      <c r="BZ95" s="271"/>
      <c r="CA95" s="270"/>
      <c r="CB95" s="270"/>
      <c r="CC95" s="270"/>
      <c r="CD95" s="270"/>
      <c r="CE95" s="270"/>
      <c r="CF95" s="270"/>
      <c r="CG95" s="271"/>
      <c r="CH95" s="270"/>
      <c r="CI95" s="270"/>
      <c r="CJ95" s="270"/>
      <c r="CK95" s="270"/>
      <c r="CL95" s="270"/>
      <c r="CM95" s="270"/>
      <c r="CN95" s="271"/>
      <c r="CO95" s="270"/>
      <c r="CP95" s="270"/>
      <c r="CQ95" s="270"/>
      <c r="CR95" s="270"/>
      <c r="CS95" s="270"/>
      <c r="CT95" s="270"/>
      <c r="CU95" s="271"/>
      <c r="CV95" s="270"/>
      <c r="CW95" s="270"/>
      <c r="CX95" s="270"/>
      <c r="CY95" s="270"/>
      <c r="CZ95" s="270"/>
      <c r="DA95" s="270"/>
      <c r="DB95" s="271"/>
      <c r="DC95" s="270"/>
      <c r="DD95" s="270"/>
      <c r="DE95" s="270"/>
      <c r="DF95" s="270"/>
      <c r="DG95" s="270"/>
      <c r="DH95" s="270"/>
      <c r="DI95" s="271"/>
      <c r="DJ95" s="270"/>
      <c r="DK95" s="270"/>
      <c r="DL95" s="270"/>
      <c r="DM95" s="270"/>
      <c r="DN95" s="270"/>
      <c r="DO95" s="270"/>
      <c r="DP95" s="271"/>
      <c r="DQ95" s="270"/>
      <c r="DR95" s="270"/>
      <c r="DS95" s="270"/>
      <c r="DT95" s="270"/>
      <c r="DU95" s="270"/>
      <c r="DV95" s="270"/>
      <c r="DW95" s="271"/>
      <c r="DX95" s="270"/>
      <c r="DY95" s="270"/>
      <c r="DZ95" s="270"/>
      <c r="EA95" s="270"/>
      <c r="EB95" s="270"/>
      <c r="EC95" s="270"/>
      <c r="ED95" s="271"/>
      <c r="EE95" s="270"/>
      <c r="EF95" s="270"/>
      <c r="EG95" s="270"/>
      <c r="EH95" s="270"/>
      <c r="EI95" s="270"/>
      <c r="EJ95" s="270"/>
      <c r="EK95" s="271"/>
      <c r="EL95" s="270"/>
      <c r="EM95" s="270"/>
      <c r="EN95" s="270"/>
      <c r="EO95" s="270"/>
      <c r="EP95" s="270"/>
      <c r="EQ95" s="270"/>
      <c r="ER95" s="271"/>
      <c r="ES95" s="270"/>
      <c r="ET95" s="270"/>
      <c r="EU95" s="270"/>
      <c r="EV95" s="270"/>
      <c r="EW95" s="270"/>
      <c r="EX95" s="270"/>
      <c r="EY95" s="271"/>
      <c r="EZ95" s="270"/>
      <c r="FA95" s="270"/>
      <c r="FB95" s="270"/>
      <c r="FC95" s="270"/>
      <c r="FD95" s="270"/>
      <c r="FE95" s="270"/>
      <c r="FF95" s="271"/>
      <c r="FG95" s="270"/>
      <c r="FH95" s="270"/>
      <c r="FI95" s="270"/>
      <c r="FJ95" s="270"/>
      <c r="FK95" s="270"/>
      <c r="FL95" s="270"/>
      <c r="FM95" s="271"/>
      <c r="FN95" s="270"/>
      <c r="FO95" s="270"/>
      <c r="FP95" s="270"/>
      <c r="FQ95" s="270"/>
      <c r="FR95" s="270"/>
      <c r="FS95" s="270"/>
      <c r="FT95" s="271"/>
      <c r="FU95" s="270"/>
      <c r="FV95" s="270"/>
      <c r="FW95" s="270"/>
      <c r="FX95" s="270"/>
      <c r="FY95" s="270"/>
      <c r="FZ95" s="270"/>
      <c r="GA95" s="271"/>
    </row>
    <row r="96" spans="1:183" ht="12.75">
      <c r="A96" s="269" t="s">
        <v>262</v>
      </c>
      <c r="B96" s="270"/>
      <c r="C96" s="270"/>
      <c r="D96" s="270"/>
      <c r="E96" s="270"/>
      <c r="F96" s="270"/>
      <c r="G96" s="270"/>
      <c r="H96" s="271"/>
      <c r="I96" s="270"/>
      <c r="J96" s="270"/>
      <c r="K96" s="270"/>
      <c r="L96" s="270"/>
      <c r="M96" s="270"/>
      <c r="N96" s="270"/>
      <c r="O96" s="271"/>
      <c r="P96" s="270"/>
      <c r="Q96" s="270"/>
      <c r="R96" s="270"/>
      <c r="S96" s="270"/>
      <c r="T96" s="270"/>
      <c r="U96" s="270"/>
      <c r="V96" s="271"/>
      <c r="W96" s="270"/>
      <c r="X96" s="270"/>
      <c r="Y96" s="270"/>
      <c r="Z96" s="270"/>
      <c r="AA96" s="270"/>
      <c r="AB96" s="270"/>
      <c r="AC96" s="271"/>
      <c r="AD96" s="270"/>
      <c r="AE96" s="270"/>
      <c r="AF96" s="270"/>
      <c r="AG96" s="270"/>
      <c r="AH96" s="270"/>
      <c r="AI96" s="270"/>
      <c r="AJ96" s="271"/>
      <c r="AK96" s="270"/>
      <c r="AL96" s="270"/>
      <c r="AM96" s="270"/>
      <c r="AN96" s="270"/>
      <c r="AO96" s="270"/>
      <c r="AP96" s="270"/>
      <c r="AQ96" s="271"/>
      <c r="AR96" s="270"/>
      <c r="AS96" s="270"/>
      <c r="AT96" s="270"/>
      <c r="AU96" s="270"/>
      <c r="AV96" s="270"/>
      <c r="AW96" s="270"/>
      <c r="AX96" s="271"/>
      <c r="AY96" s="270"/>
      <c r="AZ96" s="270"/>
      <c r="BA96" s="270"/>
      <c r="BB96" s="270"/>
      <c r="BC96" s="270"/>
      <c r="BD96" s="270"/>
      <c r="BE96" s="271"/>
      <c r="BF96" s="270"/>
      <c r="BG96" s="270"/>
      <c r="BH96" s="270"/>
      <c r="BI96" s="270"/>
      <c r="BJ96" s="270"/>
      <c r="BK96" s="270"/>
      <c r="BL96" s="271"/>
      <c r="BM96" s="270"/>
      <c r="BN96" s="270"/>
      <c r="BO96" s="270"/>
      <c r="BP96" s="270"/>
      <c r="BQ96" s="270"/>
      <c r="BR96" s="270"/>
      <c r="BS96" s="271"/>
      <c r="BT96" s="270"/>
      <c r="BU96" s="270"/>
      <c r="BV96" s="270"/>
      <c r="BW96" s="270"/>
      <c r="BX96" s="270"/>
      <c r="BY96" s="270"/>
      <c r="BZ96" s="271"/>
      <c r="CA96" s="270"/>
      <c r="CB96" s="270"/>
      <c r="CC96" s="270"/>
      <c r="CD96" s="270"/>
      <c r="CE96" s="270"/>
      <c r="CF96" s="270"/>
      <c r="CG96" s="271"/>
      <c r="CH96" s="270"/>
      <c r="CI96" s="270"/>
      <c r="CJ96" s="270"/>
      <c r="CK96" s="270"/>
      <c r="CL96" s="270"/>
      <c r="CM96" s="270"/>
      <c r="CN96" s="271"/>
      <c r="CO96" s="270"/>
      <c r="CP96" s="270"/>
      <c r="CQ96" s="270"/>
      <c r="CR96" s="270"/>
      <c r="CS96" s="270"/>
      <c r="CT96" s="270"/>
      <c r="CU96" s="271"/>
      <c r="CV96" s="270"/>
      <c r="CW96" s="270"/>
      <c r="CX96" s="270"/>
      <c r="CY96" s="270"/>
      <c r="CZ96" s="270"/>
      <c r="DA96" s="270"/>
      <c r="DB96" s="271"/>
      <c r="DC96" s="270"/>
      <c r="DD96" s="270"/>
      <c r="DE96" s="270"/>
      <c r="DF96" s="270"/>
      <c r="DG96" s="270"/>
      <c r="DH96" s="270"/>
      <c r="DI96" s="271"/>
      <c r="DJ96" s="270"/>
      <c r="DK96" s="270"/>
      <c r="DL96" s="270"/>
      <c r="DM96" s="270"/>
      <c r="DN96" s="270"/>
      <c r="DO96" s="270"/>
      <c r="DP96" s="271"/>
      <c r="DQ96" s="270"/>
      <c r="DR96" s="270"/>
      <c r="DS96" s="270"/>
      <c r="DT96" s="270"/>
      <c r="DU96" s="270"/>
      <c r="DV96" s="270"/>
      <c r="DW96" s="271"/>
      <c r="DX96" s="270"/>
      <c r="DY96" s="270"/>
      <c r="DZ96" s="270"/>
      <c r="EA96" s="270"/>
      <c r="EB96" s="270"/>
      <c r="EC96" s="270"/>
      <c r="ED96" s="271"/>
      <c r="EE96" s="270"/>
      <c r="EF96" s="270"/>
      <c r="EG96" s="270"/>
      <c r="EH96" s="270"/>
      <c r="EI96" s="270"/>
      <c r="EJ96" s="270"/>
      <c r="EK96" s="271"/>
      <c r="EL96" s="270"/>
      <c r="EM96" s="270"/>
      <c r="EN96" s="270"/>
      <c r="EO96" s="270"/>
      <c r="EP96" s="270"/>
      <c r="EQ96" s="270"/>
      <c r="ER96" s="271"/>
      <c r="ES96" s="270"/>
      <c r="ET96" s="270"/>
      <c r="EU96" s="270"/>
      <c r="EV96" s="270"/>
      <c r="EW96" s="270"/>
      <c r="EX96" s="270"/>
      <c r="EY96" s="271"/>
      <c r="EZ96" s="270"/>
      <c r="FA96" s="270"/>
      <c r="FB96" s="270"/>
      <c r="FC96" s="270"/>
      <c r="FD96" s="270"/>
      <c r="FE96" s="270"/>
      <c r="FF96" s="271"/>
      <c r="FG96" s="270"/>
      <c r="FH96" s="270"/>
      <c r="FI96" s="270"/>
      <c r="FJ96" s="270"/>
      <c r="FK96" s="270"/>
      <c r="FL96" s="270"/>
      <c r="FM96" s="271"/>
      <c r="FN96" s="270"/>
      <c r="FO96" s="270"/>
      <c r="FP96" s="270"/>
      <c r="FQ96" s="270"/>
      <c r="FR96" s="270"/>
      <c r="FS96" s="270"/>
      <c r="FT96" s="271"/>
      <c r="FU96" s="270"/>
      <c r="FV96" s="270"/>
      <c r="FW96" s="270"/>
      <c r="FX96" s="270"/>
      <c r="FY96" s="270"/>
      <c r="FZ96" s="270"/>
      <c r="GA96" s="271"/>
    </row>
    <row r="97" spans="1:183" ht="12.75">
      <c r="A97" s="277" t="s">
        <v>263</v>
      </c>
      <c r="B97" s="270"/>
      <c r="C97" s="270"/>
      <c r="D97" s="270"/>
      <c r="E97" s="270"/>
      <c r="F97" s="270"/>
      <c r="G97" s="270"/>
      <c r="H97" s="271"/>
      <c r="I97" s="270"/>
      <c r="J97" s="270"/>
      <c r="K97" s="270"/>
      <c r="L97" s="270"/>
      <c r="M97" s="270"/>
      <c r="N97" s="270"/>
      <c r="O97" s="271"/>
      <c r="P97" s="270"/>
      <c r="Q97" s="270"/>
      <c r="R97" s="270"/>
      <c r="S97" s="270"/>
      <c r="T97" s="270"/>
      <c r="U97" s="270"/>
      <c r="V97" s="271"/>
      <c r="W97" s="270"/>
      <c r="X97" s="270"/>
      <c r="Y97" s="270"/>
      <c r="Z97" s="270"/>
      <c r="AA97" s="270"/>
      <c r="AB97" s="270"/>
      <c r="AC97" s="271"/>
      <c r="AD97" s="270"/>
      <c r="AE97" s="270"/>
      <c r="AF97" s="270"/>
      <c r="AG97" s="270"/>
      <c r="AH97" s="270"/>
      <c r="AI97" s="270"/>
      <c r="AJ97" s="271"/>
      <c r="AK97" s="270"/>
      <c r="AL97" s="270"/>
      <c r="AM97" s="270"/>
      <c r="AN97" s="270"/>
      <c r="AO97" s="270"/>
      <c r="AP97" s="270"/>
      <c r="AQ97" s="271"/>
      <c r="AR97" s="270"/>
      <c r="AS97" s="270"/>
      <c r="AT97" s="270"/>
      <c r="AU97" s="270"/>
      <c r="AV97" s="270"/>
      <c r="AW97" s="270"/>
      <c r="AX97" s="271"/>
      <c r="AY97" s="270"/>
      <c r="AZ97" s="270"/>
      <c r="BA97" s="270"/>
      <c r="BB97" s="270"/>
      <c r="BC97" s="270"/>
      <c r="BD97" s="270"/>
      <c r="BE97" s="271"/>
      <c r="BF97" s="270"/>
      <c r="BG97" s="270"/>
      <c r="BH97" s="270"/>
      <c r="BI97" s="270"/>
      <c r="BJ97" s="270"/>
      <c r="BK97" s="270"/>
      <c r="BL97" s="271"/>
      <c r="BM97" s="270"/>
      <c r="BN97" s="270"/>
      <c r="BO97" s="270"/>
      <c r="BP97" s="270"/>
      <c r="BQ97" s="270"/>
      <c r="BR97" s="270"/>
      <c r="BS97" s="271"/>
      <c r="BT97" s="270"/>
      <c r="BU97" s="270"/>
      <c r="BV97" s="270"/>
      <c r="BW97" s="270"/>
      <c r="BX97" s="270"/>
      <c r="BY97" s="270"/>
      <c r="BZ97" s="271"/>
      <c r="CA97" s="270"/>
      <c r="CB97" s="270"/>
      <c r="CC97" s="270"/>
      <c r="CD97" s="270"/>
      <c r="CE97" s="270"/>
      <c r="CF97" s="270"/>
      <c r="CG97" s="271"/>
      <c r="CH97" s="270"/>
      <c r="CI97" s="270"/>
      <c r="CJ97" s="270"/>
      <c r="CK97" s="270"/>
      <c r="CL97" s="270"/>
      <c r="CM97" s="270"/>
      <c r="CN97" s="271"/>
      <c r="CO97" s="270"/>
      <c r="CP97" s="270"/>
      <c r="CQ97" s="270"/>
      <c r="CR97" s="270"/>
      <c r="CS97" s="270"/>
      <c r="CT97" s="270"/>
      <c r="CU97" s="271"/>
      <c r="CV97" s="270"/>
      <c r="CW97" s="270"/>
      <c r="CX97" s="270"/>
      <c r="CY97" s="270"/>
      <c r="CZ97" s="270"/>
      <c r="DA97" s="270"/>
      <c r="DB97" s="271"/>
      <c r="DC97" s="270"/>
      <c r="DD97" s="270"/>
      <c r="DE97" s="270"/>
      <c r="DF97" s="270"/>
      <c r="DG97" s="270"/>
      <c r="DH97" s="270"/>
      <c r="DI97" s="271"/>
      <c r="DJ97" s="270"/>
      <c r="DK97" s="270"/>
      <c r="DL97" s="270"/>
      <c r="DM97" s="270"/>
      <c r="DN97" s="270"/>
      <c r="DO97" s="270"/>
      <c r="DP97" s="271"/>
      <c r="DQ97" s="270"/>
      <c r="DR97" s="270"/>
      <c r="DS97" s="270"/>
      <c r="DT97" s="270"/>
      <c r="DU97" s="270"/>
      <c r="DV97" s="270"/>
      <c r="DW97" s="271"/>
      <c r="DX97" s="270"/>
      <c r="DY97" s="270"/>
      <c r="DZ97" s="270"/>
      <c r="EA97" s="270"/>
      <c r="EB97" s="270"/>
      <c r="EC97" s="270"/>
      <c r="ED97" s="271"/>
      <c r="EE97" s="270"/>
      <c r="EF97" s="270"/>
      <c r="EG97" s="270"/>
      <c r="EH97" s="270"/>
      <c r="EI97" s="270"/>
      <c r="EJ97" s="270"/>
      <c r="EK97" s="271"/>
      <c r="EL97" s="270"/>
      <c r="EM97" s="270"/>
      <c r="EN97" s="270"/>
      <c r="EO97" s="270"/>
      <c r="EP97" s="270"/>
      <c r="EQ97" s="270"/>
      <c r="ER97" s="271"/>
      <c r="ES97" s="270"/>
      <c r="ET97" s="270"/>
      <c r="EU97" s="270"/>
      <c r="EV97" s="270"/>
      <c r="EW97" s="270"/>
      <c r="EX97" s="270"/>
      <c r="EY97" s="271"/>
      <c r="EZ97" s="270"/>
      <c r="FA97" s="270"/>
      <c r="FB97" s="270"/>
      <c r="FC97" s="270"/>
      <c r="FD97" s="270"/>
      <c r="FE97" s="270"/>
      <c r="FF97" s="271"/>
      <c r="FG97" s="270"/>
      <c r="FH97" s="270"/>
      <c r="FI97" s="270"/>
      <c r="FJ97" s="270"/>
      <c r="FK97" s="270"/>
      <c r="FL97" s="270"/>
      <c r="FM97" s="271"/>
      <c r="FN97" s="270"/>
      <c r="FO97" s="270"/>
      <c r="FP97" s="270"/>
      <c r="FQ97" s="270"/>
      <c r="FR97" s="270"/>
      <c r="FS97" s="270"/>
      <c r="FT97" s="271"/>
      <c r="FU97" s="270"/>
      <c r="FV97" s="270"/>
      <c r="FW97" s="270"/>
      <c r="FX97" s="270"/>
      <c r="FY97" s="270"/>
      <c r="FZ97" s="270"/>
      <c r="GA97" s="271"/>
    </row>
    <row r="98" spans="1:183" ht="12.75">
      <c r="A98" s="278" t="s">
        <v>266</v>
      </c>
      <c r="B98" s="274">
        <f aca="true" t="shared" si="146" ref="B98:AG98">PRODUCT(2.25*B91+2*B92+2.2*B93+2*B94+1.8*B95+4*B96)</f>
        <v>0</v>
      </c>
      <c r="C98" s="274">
        <f t="shared" si="146"/>
        <v>0</v>
      </c>
      <c r="D98" s="274">
        <f t="shared" si="146"/>
        <v>0</v>
      </c>
      <c r="E98" s="274">
        <f t="shared" si="146"/>
        <v>0</v>
      </c>
      <c r="F98" s="274">
        <f t="shared" si="146"/>
        <v>0</v>
      </c>
      <c r="G98" s="274">
        <f t="shared" si="146"/>
        <v>0</v>
      </c>
      <c r="H98" s="274">
        <f t="shared" si="146"/>
        <v>0</v>
      </c>
      <c r="I98" s="274">
        <f t="shared" si="146"/>
        <v>0</v>
      </c>
      <c r="J98" s="274">
        <f t="shared" si="146"/>
        <v>0</v>
      </c>
      <c r="K98" s="274">
        <f t="shared" si="146"/>
        <v>0</v>
      </c>
      <c r="L98" s="274">
        <f t="shared" si="146"/>
        <v>0</v>
      </c>
      <c r="M98" s="274">
        <f t="shared" si="146"/>
        <v>0</v>
      </c>
      <c r="N98" s="274">
        <f t="shared" si="146"/>
        <v>0</v>
      </c>
      <c r="O98" s="274">
        <f t="shared" si="146"/>
        <v>0</v>
      </c>
      <c r="P98" s="274">
        <f t="shared" si="146"/>
        <v>0</v>
      </c>
      <c r="Q98" s="274">
        <f t="shared" si="146"/>
        <v>0</v>
      </c>
      <c r="R98" s="274">
        <f t="shared" si="146"/>
        <v>0</v>
      </c>
      <c r="S98" s="274">
        <f t="shared" si="146"/>
        <v>0</v>
      </c>
      <c r="T98" s="274">
        <f t="shared" si="146"/>
        <v>0</v>
      </c>
      <c r="U98" s="274">
        <f t="shared" si="146"/>
        <v>0</v>
      </c>
      <c r="V98" s="274">
        <f t="shared" si="146"/>
        <v>0</v>
      </c>
      <c r="W98" s="274">
        <f t="shared" si="146"/>
        <v>0</v>
      </c>
      <c r="X98" s="274">
        <f t="shared" si="146"/>
        <v>0</v>
      </c>
      <c r="Y98" s="274">
        <f t="shared" si="146"/>
        <v>0</v>
      </c>
      <c r="Z98" s="274">
        <f t="shared" si="146"/>
        <v>0</v>
      </c>
      <c r="AA98" s="274">
        <f t="shared" si="146"/>
        <v>0</v>
      </c>
      <c r="AB98" s="274">
        <f t="shared" si="146"/>
        <v>0</v>
      </c>
      <c r="AC98" s="274">
        <f t="shared" si="146"/>
        <v>0</v>
      </c>
      <c r="AD98" s="274">
        <f t="shared" si="146"/>
        <v>0</v>
      </c>
      <c r="AE98" s="274">
        <f t="shared" si="146"/>
        <v>0</v>
      </c>
      <c r="AF98" s="274">
        <f t="shared" si="146"/>
        <v>0</v>
      </c>
      <c r="AG98" s="274">
        <f t="shared" si="146"/>
        <v>0</v>
      </c>
      <c r="AH98" s="274">
        <f aca="true" t="shared" si="147" ref="AH98:BM98">PRODUCT(2.25*AH91+2*AH92+2.2*AH93+2*AH94+1.8*AH95+4*AH96)</f>
        <v>0</v>
      </c>
      <c r="AI98" s="274">
        <f t="shared" si="147"/>
        <v>0</v>
      </c>
      <c r="AJ98" s="274">
        <f t="shared" si="147"/>
        <v>0</v>
      </c>
      <c r="AK98" s="274">
        <f t="shared" si="147"/>
        <v>0</v>
      </c>
      <c r="AL98" s="274">
        <f t="shared" si="147"/>
        <v>0</v>
      </c>
      <c r="AM98" s="274">
        <f t="shared" si="147"/>
        <v>0</v>
      </c>
      <c r="AN98" s="274">
        <f t="shared" si="147"/>
        <v>0</v>
      </c>
      <c r="AO98" s="274">
        <f t="shared" si="147"/>
        <v>0</v>
      </c>
      <c r="AP98" s="274">
        <f t="shared" si="147"/>
        <v>0</v>
      </c>
      <c r="AQ98" s="274">
        <f t="shared" si="147"/>
        <v>0</v>
      </c>
      <c r="AR98" s="274">
        <f t="shared" si="147"/>
        <v>0</v>
      </c>
      <c r="AS98" s="274">
        <f t="shared" si="147"/>
        <v>0</v>
      </c>
      <c r="AT98" s="274">
        <f t="shared" si="147"/>
        <v>0</v>
      </c>
      <c r="AU98" s="274">
        <f t="shared" si="147"/>
        <v>0</v>
      </c>
      <c r="AV98" s="274">
        <f t="shared" si="147"/>
        <v>0</v>
      </c>
      <c r="AW98" s="274">
        <f t="shared" si="147"/>
        <v>0</v>
      </c>
      <c r="AX98" s="274">
        <f t="shared" si="147"/>
        <v>0</v>
      </c>
      <c r="AY98" s="274">
        <f t="shared" si="147"/>
        <v>0</v>
      </c>
      <c r="AZ98" s="274">
        <f t="shared" si="147"/>
        <v>0</v>
      </c>
      <c r="BA98" s="274">
        <f t="shared" si="147"/>
        <v>0</v>
      </c>
      <c r="BB98" s="274">
        <f t="shared" si="147"/>
        <v>0</v>
      </c>
      <c r="BC98" s="274">
        <f t="shared" si="147"/>
        <v>0</v>
      </c>
      <c r="BD98" s="274">
        <f t="shared" si="147"/>
        <v>0</v>
      </c>
      <c r="BE98" s="274">
        <f t="shared" si="147"/>
        <v>0</v>
      </c>
      <c r="BF98" s="274">
        <f t="shared" si="147"/>
        <v>0</v>
      </c>
      <c r="BG98" s="274">
        <f t="shared" si="147"/>
        <v>0</v>
      </c>
      <c r="BH98" s="274">
        <f t="shared" si="147"/>
        <v>0</v>
      </c>
      <c r="BI98" s="274">
        <f t="shared" si="147"/>
        <v>0</v>
      </c>
      <c r="BJ98" s="274">
        <f t="shared" si="147"/>
        <v>0</v>
      </c>
      <c r="BK98" s="274">
        <f t="shared" si="147"/>
        <v>0</v>
      </c>
      <c r="BL98" s="274">
        <f t="shared" si="147"/>
        <v>0</v>
      </c>
      <c r="BM98" s="274">
        <f t="shared" si="147"/>
        <v>0</v>
      </c>
      <c r="BN98" s="274">
        <f aca="true" t="shared" si="148" ref="BN98:CS98">PRODUCT(2.25*BN91+2*BN92+2.2*BN93+2*BN94+1.8*BN95+4*BN96)</f>
        <v>0</v>
      </c>
      <c r="BO98" s="274">
        <f t="shared" si="148"/>
        <v>0</v>
      </c>
      <c r="BP98" s="274">
        <f t="shared" si="148"/>
        <v>0</v>
      </c>
      <c r="BQ98" s="274">
        <f t="shared" si="148"/>
        <v>0</v>
      </c>
      <c r="BR98" s="274">
        <f t="shared" si="148"/>
        <v>0</v>
      </c>
      <c r="BS98" s="274">
        <f t="shared" si="148"/>
        <v>0</v>
      </c>
      <c r="BT98" s="274">
        <f t="shared" si="148"/>
        <v>0</v>
      </c>
      <c r="BU98" s="274">
        <f t="shared" si="148"/>
        <v>0</v>
      </c>
      <c r="BV98" s="274">
        <f t="shared" si="148"/>
        <v>0</v>
      </c>
      <c r="BW98" s="274">
        <f t="shared" si="148"/>
        <v>0</v>
      </c>
      <c r="BX98" s="274">
        <f t="shared" si="148"/>
        <v>0</v>
      </c>
      <c r="BY98" s="274">
        <f t="shared" si="148"/>
        <v>0</v>
      </c>
      <c r="BZ98" s="274">
        <f t="shared" si="148"/>
        <v>0</v>
      </c>
      <c r="CA98" s="274">
        <f t="shared" si="148"/>
        <v>0</v>
      </c>
      <c r="CB98" s="274">
        <f t="shared" si="148"/>
        <v>0</v>
      </c>
      <c r="CC98" s="274">
        <f t="shared" si="148"/>
        <v>0</v>
      </c>
      <c r="CD98" s="274">
        <f t="shared" si="148"/>
        <v>0</v>
      </c>
      <c r="CE98" s="274">
        <f t="shared" si="148"/>
        <v>0</v>
      </c>
      <c r="CF98" s="274">
        <f t="shared" si="148"/>
        <v>0</v>
      </c>
      <c r="CG98" s="274">
        <f t="shared" si="148"/>
        <v>0</v>
      </c>
      <c r="CH98" s="274">
        <f t="shared" si="148"/>
        <v>0</v>
      </c>
      <c r="CI98" s="274">
        <f t="shared" si="148"/>
        <v>0</v>
      </c>
      <c r="CJ98" s="274">
        <f t="shared" si="148"/>
        <v>0</v>
      </c>
      <c r="CK98" s="274">
        <f t="shared" si="148"/>
        <v>0</v>
      </c>
      <c r="CL98" s="274">
        <f t="shared" si="148"/>
        <v>0</v>
      </c>
      <c r="CM98" s="274">
        <f t="shared" si="148"/>
        <v>0</v>
      </c>
      <c r="CN98" s="274">
        <f t="shared" si="148"/>
        <v>0</v>
      </c>
      <c r="CO98" s="274">
        <f t="shared" si="148"/>
        <v>0</v>
      </c>
      <c r="CP98" s="274">
        <f t="shared" si="148"/>
        <v>0</v>
      </c>
      <c r="CQ98" s="274">
        <f t="shared" si="148"/>
        <v>0</v>
      </c>
      <c r="CR98" s="274">
        <f t="shared" si="148"/>
        <v>0</v>
      </c>
      <c r="CS98" s="274">
        <f t="shared" si="148"/>
        <v>0</v>
      </c>
      <c r="CT98" s="274">
        <f aca="true" t="shared" si="149" ref="CT98:DY98">PRODUCT(2.25*CT91+2*CT92+2.2*CT93+2*CT94+1.8*CT95+4*CT96)</f>
        <v>0</v>
      </c>
      <c r="CU98" s="274">
        <f t="shared" si="149"/>
        <v>0</v>
      </c>
      <c r="CV98" s="274">
        <f t="shared" si="149"/>
        <v>0</v>
      </c>
      <c r="CW98" s="274">
        <f t="shared" si="149"/>
        <v>0</v>
      </c>
      <c r="CX98" s="274">
        <f t="shared" si="149"/>
        <v>0</v>
      </c>
      <c r="CY98" s="274">
        <f t="shared" si="149"/>
        <v>0</v>
      </c>
      <c r="CZ98" s="274">
        <f t="shared" si="149"/>
        <v>0</v>
      </c>
      <c r="DA98" s="274">
        <f t="shared" si="149"/>
        <v>0</v>
      </c>
      <c r="DB98" s="274">
        <f t="shared" si="149"/>
        <v>0</v>
      </c>
      <c r="DC98" s="274">
        <f t="shared" si="149"/>
        <v>0</v>
      </c>
      <c r="DD98" s="274">
        <f t="shared" si="149"/>
        <v>0</v>
      </c>
      <c r="DE98" s="274">
        <f t="shared" si="149"/>
        <v>0</v>
      </c>
      <c r="DF98" s="274">
        <f t="shared" si="149"/>
        <v>0</v>
      </c>
      <c r="DG98" s="274">
        <f t="shared" si="149"/>
        <v>0</v>
      </c>
      <c r="DH98" s="274">
        <f t="shared" si="149"/>
        <v>0</v>
      </c>
      <c r="DI98" s="274">
        <f t="shared" si="149"/>
        <v>0</v>
      </c>
      <c r="DJ98" s="274">
        <f t="shared" si="149"/>
        <v>0</v>
      </c>
      <c r="DK98" s="274">
        <f t="shared" si="149"/>
        <v>0</v>
      </c>
      <c r="DL98" s="274">
        <f t="shared" si="149"/>
        <v>0</v>
      </c>
      <c r="DM98" s="274">
        <f t="shared" si="149"/>
        <v>0</v>
      </c>
      <c r="DN98" s="274">
        <f t="shared" si="149"/>
        <v>0</v>
      </c>
      <c r="DO98" s="274">
        <f t="shared" si="149"/>
        <v>0</v>
      </c>
      <c r="DP98" s="274">
        <f t="shared" si="149"/>
        <v>0</v>
      </c>
      <c r="DQ98" s="274">
        <f t="shared" si="149"/>
        <v>0</v>
      </c>
      <c r="DR98" s="274">
        <f t="shared" si="149"/>
        <v>0</v>
      </c>
      <c r="DS98" s="274">
        <f t="shared" si="149"/>
        <v>0</v>
      </c>
      <c r="DT98" s="274">
        <f t="shared" si="149"/>
        <v>0</v>
      </c>
      <c r="DU98" s="274">
        <f t="shared" si="149"/>
        <v>0</v>
      </c>
      <c r="DV98" s="274">
        <f t="shared" si="149"/>
        <v>0</v>
      </c>
      <c r="DW98" s="274">
        <f t="shared" si="149"/>
        <v>0</v>
      </c>
      <c r="DX98" s="274">
        <f t="shared" si="149"/>
        <v>0</v>
      </c>
      <c r="DY98" s="274">
        <f t="shared" si="149"/>
        <v>0</v>
      </c>
      <c r="DZ98" s="274">
        <f aca="true" t="shared" si="150" ref="DZ98:FE98">PRODUCT(2.25*DZ91+2*DZ92+2.2*DZ93+2*DZ94+1.8*DZ95+4*DZ96)</f>
        <v>0</v>
      </c>
      <c r="EA98" s="274">
        <f t="shared" si="150"/>
        <v>0</v>
      </c>
      <c r="EB98" s="274">
        <f t="shared" si="150"/>
        <v>0</v>
      </c>
      <c r="EC98" s="274">
        <f t="shared" si="150"/>
        <v>0</v>
      </c>
      <c r="ED98" s="274">
        <f t="shared" si="150"/>
        <v>0</v>
      </c>
      <c r="EE98" s="274">
        <f t="shared" si="150"/>
        <v>0</v>
      </c>
      <c r="EF98" s="274">
        <f t="shared" si="150"/>
        <v>0</v>
      </c>
      <c r="EG98" s="274">
        <f t="shared" si="150"/>
        <v>0</v>
      </c>
      <c r="EH98" s="274">
        <f t="shared" si="150"/>
        <v>0</v>
      </c>
      <c r="EI98" s="274">
        <f t="shared" si="150"/>
        <v>0</v>
      </c>
      <c r="EJ98" s="274">
        <f t="shared" si="150"/>
        <v>0</v>
      </c>
      <c r="EK98" s="274">
        <f t="shared" si="150"/>
        <v>0</v>
      </c>
      <c r="EL98" s="274">
        <f t="shared" si="150"/>
        <v>0</v>
      </c>
      <c r="EM98" s="274">
        <f t="shared" si="150"/>
        <v>0</v>
      </c>
      <c r="EN98" s="274">
        <f t="shared" si="150"/>
        <v>0</v>
      </c>
      <c r="EO98" s="274">
        <f t="shared" si="150"/>
        <v>0</v>
      </c>
      <c r="EP98" s="274">
        <f t="shared" si="150"/>
        <v>0</v>
      </c>
      <c r="EQ98" s="274">
        <f t="shared" si="150"/>
        <v>0</v>
      </c>
      <c r="ER98" s="274">
        <f t="shared" si="150"/>
        <v>0</v>
      </c>
      <c r="ES98" s="274">
        <f t="shared" si="150"/>
        <v>0</v>
      </c>
      <c r="ET98" s="274">
        <f t="shared" si="150"/>
        <v>0</v>
      </c>
      <c r="EU98" s="274">
        <f t="shared" si="150"/>
        <v>0</v>
      </c>
      <c r="EV98" s="274">
        <f t="shared" si="150"/>
        <v>0</v>
      </c>
      <c r="EW98" s="274">
        <f t="shared" si="150"/>
        <v>0</v>
      </c>
      <c r="EX98" s="274">
        <f t="shared" si="150"/>
        <v>0</v>
      </c>
      <c r="EY98" s="274">
        <f t="shared" si="150"/>
        <v>0</v>
      </c>
      <c r="EZ98" s="274">
        <f t="shared" si="150"/>
        <v>0</v>
      </c>
      <c r="FA98" s="274">
        <f t="shared" si="150"/>
        <v>0</v>
      </c>
      <c r="FB98" s="274">
        <f t="shared" si="150"/>
        <v>0</v>
      </c>
      <c r="FC98" s="274">
        <f t="shared" si="150"/>
        <v>0</v>
      </c>
      <c r="FD98" s="274">
        <f t="shared" si="150"/>
        <v>0</v>
      </c>
      <c r="FE98" s="274">
        <f t="shared" si="150"/>
        <v>0</v>
      </c>
      <c r="FF98" s="274">
        <f aca="true" t="shared" si="151" ref="FF98:GA98">PRODUCT(2.25*FF91+2*FF92+2.2*FF93+2*FF94+1.8*FF95+4*FF96)</f>
        <v>0</v>
      </c>
      <c r="FG98" s="274">
        <f t="shared" si="151"/>
        <v>0</v>
      </c>
      <c r="FH98" s="274">
        <f t="shared" si="151"/>
        <v>0</v>
      </c>
      <c r="FI98" s="274">
        <f t="shared" si="151"/>
        <v>0</v>
      </c>
      <c r="FJ98" s="274">
        <f t="shared" si="151"/>
        <v>0</v>
      </c>
      <c r="FK98" s="274">
        <f t="shared" si="151"/>
        <v>0</v>
      </c>
      <c r="FL98" s="274">
        <f t="shared" si="151"/>
        <v>0</v>
      </c>
      <c r="FM98" s="274">
        <f t="shared" si="151"/>
        <v>0</v>
      </c>
      <c r="FN98" s="274">
        <f t="shared" si="151"/>
        <v>0</v>
      </c>
      <c r="FO98" s="274">
        <f t="shared" si="151"/>
        <v>0</v>
      </c>
      <c r="FP98" s="274">
        <f t="shared" si="151"/>
        <v>0</v>
      </c>
      <c r="FQ98" s="274">
        <f t="shared" si="151"/>
        <v>0</v>
      </c>
      <c r="FR98" s="274">
        <f t="shared" si="151"/>
        <v>0</v>
      </c>
      <c r="FS98" s="274">
        <f t="shared" si="151"/>
        <v>0</v>
      </c>
      <c r="FT98" s="274">
        <f t="shared" si="151"/>
        <v>0</v>
      </c>
      <c r="FU98" s="274">
        <f t="shared" si="151"/>
        <v>0</v>
      </c>
      <c r="FV98" s="274">
        <f t="shared" si="151"/>
        <v>0</v>
      </c>
      <c r="FW98" s="274">
        <f t="shared" si="151"/>
        <v>0</v>
      </c>
      <c r="FX98" s="274">
        <f t="shared" si="151"/>
        <v>0</v>
      </c>
      <c r="FY98" s="274">
        <f t="shared" si="151"/>
        <v>0</v>
      </c>
      <c r="FZ98" s="274">
        <f t="shared" si="151"/>
        <v>0</v>
      </c>
      <c r="GA98" s="274">
        <f t="shared" si="151"/>
        <v>0</v>
      </c>
    </row>
    <row r="99" spans="1:183" ht="12.75">
      <c r="A99" s="279" t="s">
        <v>267</v>
      </c>
      <c r="B99" s="267">
        <f aca="true" t="shared" si="152" ref="B99:AE99">SUM(B100:B105)</f>
        <v>0</v>
      </c>
      <c r="C99" s="267">
        <f t="shared" si="152"/>
        <v>0</v>
      </c>
      <c r="D99" s="267">
        <f t="shared" si="152"/>
        <v>0</v>
      </c>
      <c r="E99" s="267">
        <f t="shared" si="152"/>
        <v>0</v>
      </c>
      <c r="F99" s="267">
        <f t="shared" si="152"/>
        <v>0</v>
      </c>
      <c r="G99" s="267">
        <f t="shared" si="152"/>
        <v>0</v>
      </c>
      <c r="H99" s="268">
        <f t="shared" si="152"/>
        <v>0</v>
      </c>
      <c r="I99" s="267">
        <f t="shared" si="152"/>
        <v>0</v>
      </c>
      <c r="J99" s="267">
        <f t="shared" si="152"/>
        <v>0</v>
      </c>
      <c r="K99" s="267">
        <f t="shared" si="152"/>
        <v>0</v>
      </c>
      <c r="L99" s="267">
        <f t="shared" si="152"/>
        <v>0</v>
      </c>
      <c r="M99" s="267">
        <f t="shared" si="152"/>
        <v>0</v>
      </c>
      <c r="N99" s="267">
        <f t="shared" si="152"/>
        <v>0</v>
      </c>
      <c r="O99" s="268">
        <f t="shared" si="152"/>
        <v>0</v>
      </c>
      <c r="P99" s="267">
        <f t="shared" si="152"/>
        <v>0</v>
      </c>
      <c r="Q99" s="267">
        <f t="shared" si="152"/>
        <v>0</v>
      </c>
      <c r="R99" s="267">
        <f t="shared" si="152"/>
        <v>0</v>
      </c>
      <c r="S99" s="267">
        <f t="shared" si="152"/>
        <v>0</v>
      </c>
      <c r="T99" s="267">
        <f t="shared" si="152"/>
        <v>0</v>
      </c>
      <c r="U99" s="267">
        <f t="shared" si="152"/>
        <v>0</v>
      </c>
      <c r="V99" s="268">
        <f t="shared" si="152"/>
        <v>0</v>
      </c>
      <c r="W99" s="267">
        <f t="shared" si="152"/>
        <v>0</v>
      </c>
      <c r="X99" s="267">
        <f t="shared" si="152"/>
        <v>0</v>
      </c>
      <c r="Y99" s="267">
        <f t="shared" si="152"/>
        <v>0</v>
      </c>
      <c r="Z99" s="267">
        <f t="shared" si="152"/>
        <v>0</v>
      </c>
      <c r="AA99" s="267">
        <f t="shared" si="152"/>
        <v>0</v>
      </c>
      <c r="AB99" s="267">
        <f t="shared" si="152"/>
        <v>0</v>
      </c>
      <c r="AC99" s="268">
        <f t="shared" si="152"/>
        <v>0</v>
      </c>
      <c r="AD99" s="267">
        <f t="shared" si="152"/>
        <v>0</v>
      </c>
      <c r="AE99" s="267">
        <f t="shared" si="152"/>
        <v>0</v>
      </c>
      <c r="AF99" s="267">
        <f>SUM(AF100:AF105)</f>
        <v>0</v>
      </c>
      <c r="AG99" s="267">
        <f>SUM(AG100:AG105)</f>
        <v>0</v>
      </c>
      <c r="AH99" s="267">
        <f aca="true" t="shared" si="153" ref="AH99:BM99">SUM(AH100:AH105)</f>
        <v>0</v>
      </c>
      <c r="AI99" s="267">
        <f t="shared" si="153"/>
        <v>0</v>
      </c>
      <c r="AJ99" s="268">
        <f t="shared" si="153"/>
        <v>0</v>
      </c>
      <c r="AK99" s="267">
        <f t="shared" si="153"/>
        <v>0</v>
      </c>
      <c r="AL99" s="267">
        <f t="shared" si="153"/>
        <v>0</v>
      </c>
      <c r="AM99" s="267">
        <f t="shared" si="153"/>
        <v>0</v>
      </c>
      <c r="AN99" s="267">
        <f t="shared" si="153"/>
        <v>0</v>
      </c>
      <c r="AO99" s="267">
        <f t="shared" si="153"/>
        <v>0</v>
      </c>
      <c r="AP99" s="267">
        <f t="shared" si="153"/>
        <v>0</v>
      </c>
      <c r="AQ99" s="268">
        <f t="shared" si="153"/>
        <v>0</v>
      </c>
      <c r="AR99" s="267">
        <f t="shared" si="153"/>
        <v>0</v>
      </c>
      <c r="AS99" s="267">
        <f t="shared" si="153"/>
        <v>0</v>
      </c>
      <c r="AT99" s="267">
        <f t="shared" si="153"/>
        <v>0</v>
      </c>
      <c r="AU99" s="267">
        <f t="shared" si="153"/>
        <v>0</v>
      </c>
      <c r="AV99" s="267">
        <f t="shared" si="153"/>
        <v>0</v>
      </c>
      <c r="AW99" s="267">
        <f t="shared" si="153"/>
        <v>0</v>
      </c>
      <c r="AX99" s="268">
        <f t="shared" si="153"/>
        <v>0</v>
      </c>
      <c r="AY99" s="267">
        <f t="shared" si="153"/>
        <v>0</v>
      </c>
      <c r="AZ99" s="267">
        <f t="shared" si="153"/>
        <v>0</v>
      </c>
      <c r="BA99" s="267">
        <f t="shared" si="153"/>
        <v>0</v>
      </c>
      <c r="BB99" s="267">
        <f t="shared" si="153"/>
        <v>0</v>
      </c>
      <c r="BC99" s="267">
        <f t="shared" si="153"/>
        <v>0</v>
      </c>
      <c r="BD99" s="267">
        <f t="shared" si="153"/>
        <v>0</v>
      </c>
      <c r="BE99" s="268">
        <f t="shared" si="153"/>
        <v>0</v>
      </c>
      <c r="BF99" s="267">
        <f t="shared" si="153"/>
        <v>0</v>
      </c>
      <c r="BG99" s="267">
        <f t="shared" si="153"/>
        <v>0</v>
      </c>
      <c r="BH99" s="267">
        <f t="shared" si="153"/>
        <v>0</v>
      </c>
      <c r="BI99" s="267">
        <f t="shared" si="153"/>
        <v>0</v>
      </c>
      <c r="BJ99" s="267">
        <f t="shared" si="153"/>
        <v>0</v>
      </c>
      <c r="BK99" s="267">
        <f t="shared" si="153"/>
        <v>0</v>
      </c>
      <c r="BL99" s="268">
        <f t="shared" si="153"/>
        <v>0</v>
      </c>
      <c r="BM99" s="267">
        <f t="shared" si="153"/>
        <v>0</v>
      </c>
      <c r="BN99" s="267">
        <f aca="true" t="shared" si="154" ref="BN99:CS99">SUM(BN100:BN105)</f>
        <v>0</v>
      </c>
      <c r="BO99" s="267">
        <f t="shared" si="154"/>
        <v>0</v>
      </c>
      <c r="BP99" s="267">
        <f t="shared" si="154"/>
        <v>0</v>
      </c>
      <c r="BQ99" s="267">
        <f t="shared" si="154"/>
        <v>0</v>
      </c>
      <c r="BR99" s="267">
        <f t="shared" si="154"/>
        <v>0</v>
      </c>
      <c r="BS99" s="268">
        <f t="shared" si="154"/>
        <v>0</v>
      </c>
      <c r="BT99" s="267">
        <f t="shared" si="154"/>
        <v>0</v>
      </c>
      <c r="BU99" s="267">
        <f t="shared" si="154"/>
        <v>0</v>
      </c>
      <c r="BV99" s="267">
        <f t="shared" si="154"/>
        <v>0</v>
      </c>
      <c r="BW99" s="267">
        <f t="shared" si="154"/>
        <v>0</v>
      </c>
      <c r="BX99" s="267">
        <f t="shared" si="154"/>
        <v>0</v>
      </c>
      <c r="BY99" s="267">
        <f t="shared" si="154"/>
        <v>0</v>
      </c>
      <c r="BZ99" s="268">
        <f t="shared" si="154"/>
        <v>0</v>
      </c>
      <c r="CA99" s="267">
        <f t="shared" si="154"/>
        <v>0</v>
      </c>
      <c r="CB99" s="267">
        <f t="shared" si="154"/>
        <v>0</v>
      </c>
      <c r="CC99" s="267">
        <f t="shared" si="154"/>
        <v>0</v>
      </c>
      <c r="CD99" s="267">
        <f t="shared" si="154"/>
        <v>0</v>
      </c>
      <c r="CE99" s="267">
        <f t="shared" si="154"/>
        <v>0</v>
      </c>
      <c r="CF99" s="267">
        <f t="shared" si="154"/>
        <v>0</v>
      </c>
      <c r="CG99" s="268">
        <f t="shared" si="154"/>
        <v>0</v>
      </c>
      <c r="CH99" s="267">
        <f t="shared" si="154"/>
        <v>0</v>
      </c>
      <c r="CI99" s="267">
        <f t="shared" si="154"/>
        <v>0</v>
      </c>
      <c r="CJ99" s="267">
        <f t="shared" si="154"/>
        <v>0</v>
      </c>
      <c r="CK99" s="267">
        <f t="shared" si="154"/>
        <v>0</v>
      </c>
      <c r="CL99" s="267">
        <f t="shared" si="154"/>
        <v>0</v>
      </c>
      <c r="CM99" s="267">
        <f t="shared" si="154"/>
        <v>0</v>
      </c>
      <c r="CN99" s="268">
        <f t="shared" si="154"/>
        <v>0</v>
      </c>
      <c r="CO99" s="267">
        <f t="shared" si="154"/>
        <v>0</v>
      </c>
      <c r="CP99" s="267">
        <f t="shared" si="154"/>
        <v>0</v>
      </c>
      <c r="CQ99" s="267">
        <f t="shared" si="154"/>
        <v>0</v>
      </c>
      <c r="CR99" s="267">
        <f t="shared" si="154"/>
        <v>0</v>
      </c>
      <c r="CS99" s="267">
        <f t="shared" si="154"/>
        <v>0</v>
      </c>
      <c r="CT99" s="267">
        <f aca="true" t="shared" si="155" ref="CT99:DY99">SUM(CT100:CT105)</f>
        <v>0</v>
      </c>
      <c r="CU99" s="268">
        <f t="shared" si="155"/>
        <v>0</v>
      </c>
      <c r="CV99" s="267">
        <f t="shared" si="155"/>
        <v>0</v>
      </c>
      <c r="CW99" s="267">
        <f t="shared" si="155"/>
        <v>0</v>
      </c>
      <c r="CX99" s="267">
        <f t="shared" si="155"/>
        <v>0</v>
      </c>
      <c r="CY99" s="267">
        <f t="shared" si="155"/>
        <v>0</v>
      </c>
      <c r="CZ99" s="267">
        <f t="shared" si="155"/>
        <v>0</v>
      </c>
      <c r="DA99" s="267">
        <f t="shared" si="155"/>
        <v>0</v>
      </c>
      <c r="DB99" s="268">
        <f t="shared" si="155"/>
        <v>0</v>
      </c>
      <c r="DC99" s="267">
        <f t="shared" si="155"/>
        <v>0</v>
      </c>
      <c r="DD99" s="267">
        <f t="shared" si="155"/>
        <v>0</v>
      </c>
      <c r="DE99" s="267">
        <f t="shared" si="155"/>
        <v>0</v>
      </c>
      <c r="DF99" s="267">
        <f t="shared" si="155"/>
        <v>0</v>
      </c>
      <c r="DG99" s="267">
        <f t="shared" si="155"/>
        <v>0</v>
      </c>
      <c r="DH99" s="267">
        <f t="shared" si="155"/>
        <v>0</v>
      </c>
      <c r="DI99" s="268">
        <f t="shared" si="155"/>
        <v>0</v>
      </c>
      <c r="DJ99" s="267">
        <f t="shared" si="155"/>
        <v>0</v>
      </c>
      <c r="DK99" s="267">
        <f t="shared" si="155"/>
        <v>0</v>
      </c>
      <c r="DL99" s="267">
        <f t="shared" si="155"/>
        <v>0</v>
      </c>
      <c r="DM99" s="267">
        <f t="shared" si="155"/>
        <v>0</v>
      </c>
      <c r="DN99" s="267">
        <f t="shared" si="155"/>
        <v>0</v>
      </c>
      <c r="DO99" s="267">
        <f t="shared" si="155"/>
        <v>0</v>
      </c>
      <c r="DP99" s="268">
        <f t="shared" si="155"/>
        <v>0</v>
      </c>
      <c r="DQ99" s="267">
        <f t="shared" si="155"/>
        <v>0</v>
      </c>
      <c r="DR99" s="267">
        <f t="shared" si="155"/>
        <v>0</v>
      </c>
      <c r="DS99" s="267">
        <f t="shared" si="155"/>
        <v>0</v>
      </c>
      <c r="DT99" s="267">
        <f t="shared" si="155"/>
        <v>0</v>
      </c>
      <c r="DU99" s="267">
        <f t="shared" si="155"/>
        <v>0</v>
      </c>
      <c r="DV99" s="267">
        <f t="shared" si="155"/>
        <v>0</v>
      </c>
      <c r="DW99" s="268">
        <f t="shared" si="155"/>
        <v>0</v>
      </c>
      <c r="DX99" s="267">
        <f t="shared" si="155"/>
        <v>0</v>
      </c>
      <c r="DY99" s="267">
        <f t="shared" si="155"/>
        <v>0</v>
      </c>
      <c r="DZ99" s="267">
        <f aca="true" t="shared" si="156" ref="DZ99:FE99">SUM(DZ100:DZ105)</f>
        <v>0</v>
      </c>
      <c r="EA99" s="267">
        <f t="shared" si="156"/>
        <v>0</v>
      </c>
      <c r="EB99" s="267">
        <f t="shared" si="156"/>
        <v>0</v>
      </c>
      <c r="EC99" s="267">
        <f t="shared" si="156"/>
        <v>0</v>
      </c>
      <c r="ED99" s="268">
        <f t="shared" si="156"/>
        <v>0</v>
      </c>
      <c r="EE99" s="267">
        <f t="shared" si="156"/>
        <v>0</v>
      </c>
      <c r="EF99" s="267">
        <f t="shared" si="156"/>
        <v>0</v>
      </c>
      <c r="EG99" s="267">
        <f t="shared" si="156"/>
        <v>0</v>
      </c>
      <c r="EH99" s="267">
        <f t="shared" si="156"/>
        <v>0</v>
      </c>
      <c r="EI99" s="267">
        <f t="shared" si="156"/>
        <v>0</v>
      </c>
      <c r="EJ99" s="267">
        <f t="shared" si="156"/>
        <v>0</v>
      </c>
      <c r="EK99" s="268">
        <f t="shared" si="156"/>
        <v>0</v>
      </c>
      <c r="EL99" s="267">
        <f t="shared" si="156"/>
        <v>0</v>
      </c>
      <c r="EM99" s="267">
        <f t="shared" si="156"/>
        <v>0</v>
      </c>
      <c r="EN99" s="267">
        <f t="shared" si="156"/>
        <v>0</v>
      </c>
      <c r="EO99" s="267">
        <f t="shared" si="156"/>
        <v>0</v>
      </c>
      <c r="EP99" s="267">
        <f t="shared" si="156"/>
        <v>0</v>
      </c>
      <c r="EQ99" s="267">
        <f t="shared" si="156"/>
        <v>0</v>
      </c>
      <c r="ER99" s="268">
        <f t="shared" si="156"/>
        <v>0</v>
      </c>
      <c r="ES99" s="267">
        <f t="shared" si="156"/>
        <v>0</v>
      </c>
      <c r="ET99" s="267">
        <f t="shared" si="156"/>
        <v>0</v>
      </c>
      <c r="EU99" s="267">
        <f t="shared" si="156"/>
        <v>0</v>
      </c>
      <c r="EV99" s="267">
        <f t="shared" si="156"/>
        <v>0</v>
      </c>
      <c r="EW99" s="267">
        <f t="shared" si="156"/>
        <v>0</v>
      </c>
      <c r="EX99" s="267">
        <f t="shared" si="156"/>
        <v>0</v>
      </c>
      <c r="EY99" s="268">
        <f t="shared" si="156"/>
        <v>0</v>
      </c>
      <c r="EZ99" s="267">
        <f t="shared" si="156"/>
        <v>0</v>
      </c>
      <c r="FA99" s="267">
        <f t="shared" si="156"/>
        <v>0</v>
      </c>
      <c r="FB99" s="267">
        <f t="shared" si="156"/>
        <v>0</v>
      </c>
      <c r="FC99" s="267">
        <f t="shared" si="156"/>
        <v>0</v>
      </c>
      <c r="FD99" s="267">
        <f t="shared" si="156"/>
        <v>0</v>
      </c>
      <c r="FE99" s="267">
        <f t="shared" si="156"/>
        <v>0</v>
      </c>
      <c r="FF99" s="268">
        <f aca="true" t="shared" si="157" ref="FF99:GA99">SUM(FF100:FF105)</f>
        <v>0</v>
      </c>
      <c r="FG99" s="267">
        <f t="shared" si="157"/>
        <v>0</v>
      </c>
      <c r="FH99" s="267">
        <f t="shared" si="157"/>
        <v>0</v>
      </c>
      <c r="FI99" s="267">
        <f t="shared" si="157"/>
        <v>0</v>
      </c>
      <c r="FJ99" s="267">
        <f t="shared" si="157"/>
        <v>0</v>
      </c>
      <c r="FK99" s="267">
        <f t="shared" si="157"/>
        <v>0</v>
      </c>
      <c r="FL99" s="267">
        <f t="shared" si="157"/>
        <v>0</v>
      </c>
      <c r="FM99" s="268">
        <f t="shared" si="157"/>
        <v>0</v>
      </c>
      <c r="FN99" s="267">
        <f t="shared" si="157"/>
        <v>0</v>
      </c>
      <c r="FO99" s="267">
        <f t="shared" si="157"/>
        <v>0</v>
      </c>
      <c r="FP99" s="267">
        <f t="shared" si="157"/>
        <v>0</v>
      </c>
      <c r="FQ99" s="267">
        <f t="shared" si="157"/>
        <v>0</v>
      </c>
      <c r="FR99" s="267">
        <f t="shared" si="157"/>
        <v>0</v>
      </c>
      <c r="FS99" s="267">
        <f t="shared" si="157"/>
        <v>0</v>
      </c>
      <c r="FT99" s="268">
        <f t="shared" si="157"/>
        <v>0</v>
      </c>
      <c r="FU99" s="267">
        <f t="shared" si="157"/>
        <v>0</v>
      </c>
      <c r="FV99" s="267">
        <f t="shared" si="157"/>
        <v>0</v>
      </c>
      <c r="FW99" s="267">
        <f t="shared" si="157"/>
        <v>0</v>
      </c>
      <c r="FX99" s="267">
        <f t="shared" si="157"/>
        <v>0</v>
      </c>
      <c r="FY99" s="267">
        <f t="shared" si="157"/>
        <v>0</v>
      </c>
      <c r="FZ99" s="267">
        <f t="shared" si="157"/>
        <v>0</v>
      </c>
      <c r="GA99" s="268">
        <f t="shared" si="157"/>
        <v>0</v>
      </c>
    </row>
    <row r="100" spans="1:183" ht="12.75">
      <c r="A100" s="269" t="s">
        <v>0</v>
      </c>
      <c r="B100" s="270"/>
      <c r="C100" s="270"/>
      <c r="D100" s="270"/>
      <c r="E100" s="270"/>
      <c r="F100" s="270"/>
      <c r="G100" s="270"/>
      <c r="H100" s="271"/>
      <c r="I100" s="270"/>
      <c r="J100" s="270"/>
      <c r="K100" s="270"/>
      <c r="L100" s="270"/>
      <c r="M100" s="270"/>
      <c r="N100" s="270"/>
      <c r="O100" s="271"/>
      <c r="P100" s="270"/>
      <c r="Q100" s="270"/>
      <c r="R100" s="270"/>
      <c r="S100" s="270"/>
      <c r="T100" s="270"/>
      <c r="U100" s="270"/>
      <c r="V100" s="271"/>
      <c r="W100" s="270"/>
      <c r="X100" s="270"/>
      <c r="Y100" s="270"/>
      <c r="Z100" s="270"/>
      <c r="AA100" s="270"/>
      <c r="AB100" s="270"/>
      <c r="AC100" s="271"/>
      <c r="AD100" s="270"/>
      <c r="AE100" s="270"/>
      <c r="AF100" s="270"/>
      <c r="AG100" s="270"/>
      <c r="AH100" s="270"/>
      <c r="AI100" s="270"/>
      <c r="AJ100" s="271"/>
      <c r="AK100" s="270"/>
      <c r="AL100" s="270"/>
      <c r="AM100" s="270"/>
      <c r="AN100" s="270"/>
      <c r="AO100" s="270"/>
      <c r="AP100" s="270"/>
      <c r="AQ100" s="271"/>
      <c r="AR100" s="270"/>
      <c r="AS100" s="270"/>
      <c r="AT100" s="270"/>
      <c r="AU100" s="270"/>
      <c r="AV100" s="270"/>
      <c r="AW100" s="270"/>
      <c r="AX100" s="271"/>
      <c r="AY100" s="270"/>
      <c r="AZ100" s="270"/>
      <c r="BA100" s="270"/>
      <c r="BB100" s="270"/>
      <c r="BC100" s="270"/>
      <c r="BD100" s="270"/>
      <c r="BE100" s="271"/>
      <c r="BF100" s="270"/>
      <c r="BG100" s="270"/>
      <c r="BH100" s="270"/>
      <c r="BI100" s="270"/>
      <c r="BJ100" s="270"/>
      <c r="BK100" s="270"/>
      <c r="BL100" s="271"/>
      <c r="BM100" s="270"/>
      <c r="BN100" s="270"/>
      <c r="BO100" s="270"/>
      <c r="BP100" s="270"/>
      <c r="BQ100" s="270"/>
      <c r="BR100" s="270"/>
      <c r="BS100" s="271"/>
      <c r="BT100" s="270"/>
      <c r="BU100" s="270"/>
      <c r="BV100" s="270"/>
      <c r="BW100" s="270"/>
      <c r="BX100" s="270"/>
      <c r="BY100" s="270"/>
      <c r="BZ100" s="271"/>
      <c r="CA100" s="270"/>
      <c r="CB100" s="270"/>
      <c r="CC100" s="270"/>
      <c r="CD100" s="270"/>
      <c r="CE100" s="270"/>
      <c r="CF100" s="270"/>
      <c r="CG100" s="271"/>
      <c r="CH100" s="270"/>
      <c r="CI100" s="270"/>
      <c r="CJ100" s="270"/>
      <c r="CK100" s="270"/>
      <c r="CL100" s="270"/>
      <c r="CM100" s="270"/>
      <c r="CN100" s="271"/>
      <c r="CO100" s="270"/>
      <c r="CP100" s="270"/>
      <c r="CQ100" s="270"/>
      <c r="CR100" s="270"/>
      <c r="CS100" s="270"/>
      <c r="CT100" s="270"/>
      <c r="CU100" s="271"/>
      <c r="CV100" s="270"/>
      <c r="CW100" s="270"/>
      <c r="CX100" s="270"/>
      <c r="CY100" s="270"/>
      <c r="CZ100" s="270"/>
      <c r="DA100" s="270"/>
      <c r="DB100" s="271"/>
      <c r="DC100" s="270"/>
      <c r="DD100" s="270"/>
      <c r="DE100" s="270"/>
      <c r="DF100" s="270"/>
      <c r="DG100" s="270"/>
      <c r="DH100" s="270"/>
      <c r="DI100" s="271"/>
      <c r="DJ100" s="270"/>
      <c r="DK100" s="270"/>
      <c r="DL100" s="270"/>
      <c r="DM100" s="270"/>
      <c r="DN100" s="270"/>
      <c r="DO100" s="270"/>
      <c r="DP100" s="271"/>
      <c r="DQ100" s="270"/>
      <c r="DR100" s="270"/>
      <c r="DS100" s="270"/>
      <c r="DT100" s="270"/>
      <c r="DU100" s="270"/>
      <c r="DV100" s="270"/>
      <c r="DW100" s="271"/>
      <c r="DX100" s="270"/>
      <c r="DY100" s="270"/>
      <c r="DZ100" s="270"/>
      <c r="EA100" s="270"/>
      <c r="EB100" s="270"/>
      <c r="EC100" s="270"/>
      <c r="ED100" s="271"/>
      <c r="EE100" s="270"/>
      <c r="EF100" s="270"/>
      <c r="EG100" s="270"/>
      <c r="EH100" s="270"/>
      <c r="EI100" s="270"/>
      <c r="EJ100" s="270"/>
      <c r="EK100" s="271"/>
      <c r="EL100" s="270"/>
      <c r="EM100" s="270"/>
      <c r="EN100" s="270"/>
      <c r="EO100" s="270"/>
      <c r="EP100" s="270"/>
      <c r="EQ100" s="270"/>
      <c r="ER100" s="271"/>
      <c r="ES100" s="270"/>
      <c r="ET100" s="270"/>
      <c r="EU100" s="270"/>
      <c r="EV100" s="270"/>
      <c r="EW100" s="270"/>
      <c r="EX100" s="270"/>
      <c r="EY100" s="271"/>
      <c r="EZ100" s="270"/>
      <c r="FA100" s="270"/>
      <c r="FB100" s="270"/>
      <c r="FC100" s="270"/>
      <c r="FD100" s="270"/>
      <c r="FE100" s="270"/>
      <c r="FF100" s="271"/>
      <c r="FG100" s="270"/>
      <c r="FH100" s="270"/>
      <c r="FI100" s="270"/>
      <c r="FJ100" s="270"/>
      <c r="FK100" s="270"/>
      <c r="FL100" s="270"/>
      <c r="FM100" s="271"/>
      <c r="FN100" s="270"/>
      <c r="FO100" s="270"/>
      <c r="FP100" s="270"/>
      <c r="FQ100" s="270"/>
      <c r="FR100" s="270"/>
      <c r="FS100" s="270"/>
      <c r="FT100" s="271"/>
      <c r="FU100" s="270"/>
      <c r="FV100" s="270"/>
      <c r="FW100" s="270"/>
      <c r="FX100" s="270"/>
      <c r="FY100" s="270"/>
      <c r="FZ100" s="270"/>
      <c r="GA100" s="271"/>
    </row>
    <row r="101" spans="1:183" ht="12.75">
      <c r="A101" s="269" t="s">
        <v>1</v>
      </c>
      <c r="B101" s="270"/>
      <c r="C101" s="270"/>
      <c r="D101" s="270"/>
      <c r="E101" s="270"/>
      <c r="F101" s="270"/>
      <c r="G101" s="270"/>
      <c r="H101" s="271"/>
      <c r="I101" s="270"/>
      <c r="J101" s="270"/>
      <c r="K101" s="270"/>
      <c r="L101" s="270"/>
      <c r="M101" s="270"/>
      <c r="N101" s="270"/>
      <c r="O101" s="271"/>
      <c r="P101" s="270"/>
      <c r="Q101" s="270"/>
      <c r="R101" s="270"/>
      <c r="S101" s="270"/>
      <c r="T101" s="270"/>
      <c r="U101" s="270"/>
      <c r="V101" s="271"/>
      <c r="W101" s="270"/>
      <c r="X101" s="270"/>
      <c r="Y101" s="270"/>
      <c r="Z101" s="270"/>
      <c r="AA101" s="270"/>
      <c r="AB101" s="270"/>
      <c r="AC101" s="271"/>
      <c r="AD101" s="270"/>
      <c r="AE101" s="270"/>
      <c r="AF101" s="270"/>
      <c r="AG101" s="270"/>
      <c r="AH101" s="270"/>
      <c r="AI101" s="270"/>
      <c r="AJ101" s="271"/>
      <c r="AK101" s="270"/>
      <c r="AL101" s="270"/>
      <c r="AM101" s="270"/>
      <c r="AN101" s="270"/>
      <c r="AO101" s="270"/>
      <c r="AP101" s="270"/>
      <c r="AQ101" s="271"/>
      <c r="AR101" s="270"/>
      <c r="AS101" s="270"/>
      <c r="AT101" s="270"/>
      <c r="AU101" s="270"/>
      <c r="AV101" s="270"/>
      <c r="AW101" s="270"/>
      <c r="AX101" s="271"/>
      <c r="AY101" s="270"/>
      <c r="AZ101" s="270"/>
      <c r="BA101" s="270"/>
      <c r="BB101" s="270"/>
      <c r="BC101" s="270"/>
      <c r="BD101" s="270"/>
      <c r="BE101" s="271"/>
      <c r="BF101" s="270"/>
      <c r="BG101" s="270"/>
      <c r="BH101" s="270"/>
      <c r="BI101" s="270"/>
      <c r="BJ101" s="270"/>
      <c r="BK101" s="270"/>
      <c r="BL101" s="271"/>
      <c r="BM101" s="270"/>
      <c r="BN101" s="270"/>
      <c r="BO101" s="270"/>
      <c r="BP101" s="270"/>
      <c r="BQ101" s="270"/>
      <c r="BR101" s="270"/>
      <c r="BS101" s="271"/>
      <c r="BT101" s="270"/>
      <c r="BU101" s="270"/>
      <c r="BV101" s="270"/>
      <c r="BW101" s="270"/>
      <c r="BX101" s="270"/>
      <c r="BY101" s="270"/>
      <c r="BZ101" s="271"/>
      <c r="CA101" s="270"/>
      <c r="CB101" s="270"/>
      <c r="CC101" s="270"/>
      <c r="CD101" s="270"/>
      <c r="CE101" s="270"/>
      <c r="CF101" s="270"/>
      <c r="CG101" s="271"/>
      <c r="CH101" s="270"/>
      <c r="CI101" s="270"/>
      <c r="CJ101" s="270"/>
      <c r="CK101" s="270"/>
      <c r="CL101" s="270"/>
      <c r="CM101" s="270"/>
      <c r="CN101" s="271"/>
      <c r="CO101" s="270"/>
      <c r="CP101" s="270"/>
      <c r="CQ101" s="270"/>
      <c r="CR101" s="270"/>
      <c r="CS101" s="270"/>
      <c r="CT101" s="270"/>
      <c r="CU101" s="271"/>
      <c r="CV101" s="270"/>
      <c r="CW101" s="270"/>
      <c r="CX101" s="270"/>
      <c r="CY101" s="270"/>
      <c r="CZ101" s="270"/>
      <c r="DA101" s="270"/>
      <c r="DB101" s="271"/>
      <c r="DC101" s="270"/>
      <c r="DD101" s="270"/>
      <c r="DE101" s="270"/>
      <c r="DF101" s="270"/>
      <c r="DG101" s="270"/>
      <c r="DH101" s="270"/>
      <c r="DI101" s="271"/>
      <c r="DJ101" s="270"/>
      <c r="DK101" s="270"/>
      <c r="DL101" s="270"/>
      <c r="DM101" s="270"/>
      <c r="DN101" s="270"/>
      <c r="DO101" s="270"/>
      <c r="DP101" s="271"/>
      <c r="DQ101" s="270"/>
      <c r="DR101" s="270"/>
      <c r="DS101" s="270"/>
      <c r="DT101" s="270"/>
      <c r="DU101" s="270"/>
      <c r="DV101" s="270"/>
      <c r="DW101" s="271"/>
      <c r="DX101" s="270"/>
      <c r="DY101" s="270"/>
      <c r="DZ101" s="270"/>
      <c r="EA101" s="270"/>
      <c r="EB101" s="270"/>
      <c r="EC101" s="270"/>
      <c r="ED101" s="271"/>
      <c r="EE101" s="270"/>
      <c r="EF101" s="270"/>
      <c r="EG101" s="270"/>
      <c r="EH101" s="270"/>
      <c r="EI101" s="270"/>
      <c r="EJ101" s="270"/>
      <c r="EK101" s="271"/>
      <c r="EL101" s="270"/>
      <c r="EM101" s="270"/>
      <c r="EN101" s="270"/>
      <c r="EO101" s="270"/>
      <c r="EP101" s="270"/>
      <c r="EQ101" s="270"/>
      <c r="ER101" s="271"/>
      <c r="ES101" s="270"/>
      <c r="ET101" s="270"/>
      <c r="EU101" s="270"/>
      <c r="EV101" s="270"/>
      <c r="EW101" s="270"/>
      <c r="EX101" s="270"/>
      <c r="EY101" s="271"/>
      <c r="EZ101" s="270"/>
      <c r="FA101" s="270"/>
      <c r="FB101" s="270"/>
      <c r="FC101" s="270"/>
      <c r="FD101" s="270"/>
      <c r="FE101" s="270"/>
      <c r="FF101" s="271"/>
      <c r="FG101" s="270"/>
      <c r="FH101" s="270"/>
      <c r="FI101" s="270"/>
      <c r="FJ101" s="270"/>
      <c r="FK101" s="270"/>
      <c r="FL101" s="270"/>
      <c r="FM101" s="271"/>
      <c r="FN101" s="270"/>
      <c r="FO101" s="270"/>
      <c r="FP101" s="270"/>
      <c r="FQ101" s="270"/>
      <c r="FR101" s="270"/>
      <c r="FS101" s="270"/>
      <c r="FT101" s="271"/>
      <c r="FU101" s="270"/>
      <c r="FV101" s="270"/>
      <c r="FW101" s="270"/>
      <c r="FX101" s="270"/>
      <c r="FY101" s="270"/>
      <c r="FZ101" s="270"/>
      <c r="GA101" s="271"/>
    </row>
    <row r="102" spans="1:183" ht="12.75">
      <c r="A102" s="269" t="s">
        <v>260</v>
      </c>
      <c r="B102" s="270"/>
      <c r="C102" s="270"/>
      <c r="D102" s="270"/>
      <c r="E102" s="270"/>
      <c r="F102" s="270"/>
      <c r="G102" s="270"/>
      <c r="H102" s="271"/>
      <c r="I102" s="270"/>
      <c r="J102" s="270"/>
      <c r="K102" s="270"/>
      <c r="L102" s="270"/>
      <c r="M102" s="270"/>
      <c r="N102" s="270"/>
      <c r="O102" s="271"/>
      <c r="P102" s="270"/>
      <c r="Q102" s="270"/>
      <c r="R102" s="270"/>
      <c r="S102" s="270"/>
      <c r="T102" s="270"/>
      <c r="U102" s="270"/>
      <c r="V102" s="271"/>
      <c r="W102" s="270"/>
      <c r="X102" s="270"/>
      <c r="Y102" s="270"/>
      <c r="Z102" s="270"/>
      <c r="AA102" s="270"/>
      <c r="AB102" s="270"/>
      <c r="AC102" s="271"/>
      <c r="AD102" s="270"/>
      <c r="AE102" s="270"/>
      <c r="AF102" s="270"/>
      <c r="AG102" s="270"/>
      <c r="AH102" s="270"/>
      <c r="AI102" s="270"/>
      <c r="AJ102" s="271"/>
      <c r="AK102" s="270"/>
      <c r="AL102" s="270"/>
      <c r="AM102" s="270"/>
      <c r="AN102" s="270"/>
      <c r="AO102" s="270"/>
      <c r="AP102" s="270"/>
      <c r="AQ102" s="271"/>
      <c r="AR102" s="270"/>
      <c r="AS102" s="270"/>
      <c r="AT102" s="270"/>
      <c r="AU102" s="270"/>
      <c r="AV102" s="270"/>
      <c r="AW102" s="270"/>
      <c r="AX102" s="271"/>
      <c r="AY102" s="270"/>
      <c r="AZ102" s="270"/>
      <c r="BA102" s="270"/>
      <c r="BB102" s="270"/>
      <c r="BC102" s="270"/>
      <c r="BD102" s="270"/>
      <c r="BE102" s="271"/>
      <c r="BF102" s="270"/>
      <c r="BG102" s="270"/>
      <c r="BH102" s="270"/>
      <c r="BI102" s="270"/>
      <c r="BJ102" s="270"/>
      <c r="BK102" s="270"/>
      <c r="BL102" s="271"/>
      <c r="BM102" s="270"/>
      <c r="BN102" s="270"/>
      <c r="BO102" s="270"/>
      <c r="BP102" s="270"/>
      <c r="BQ102" s="270"/>
      <c r="BR102" s="270"/>
      <c r="BS102" s="271"/>
      <c r="BT102" s="270"/>
      <c r="BU102" s="270"/>
      <c r="BV102" s="270"/>
      <c r="BW102" s="270"/>
      <c r="BX102" s="270"/>
      <c r="BY102" s="270"/>
      <c r="BZ102" s="271"/>
      <c r="CA102" s="270"/>
      <c r="CB102" s="270"/>
      <c r="CC102" s="270"/>
      <c r="CD102" s="270"/>
      <c r="CE102" s="270"/>
      <c r="CF102" s="270"/>
      <c r="CG102" s="271"/>
      <c r="CH102" s="270"/>
      <c r="CI102" s="270"/>
      <c r="CJ102" s="270"/>
      <c r="CK102" s="270"/>
      <c r="CL102" s="270"/>
      <c r="CM102" s="270"/>
      <c r="CN102" s="271"/>
      <c r="CO102" s="270"/>
      <c r="CP102" s="270"/>
      <c r="CQ102" s="270"/>
      <c r="CR102" s="270"/>
      <c r="CS102" s="270"/>
      <c r="CT102" s="270"/>
      <c r="CU102" s="271"/>
      <c r="CV102" s="270"/>
      <c r="CW102" s="270"/>
      <c r="CX102" s="270"/>
      <c r="CY102" s="270"/>
      <c r="CZ102" s="270"/>
      <c r="DA102" s="270"/>
      <c r="DB102" s="271"/>
      <c r="DC102" s="270"/>
      <c r="DD102" s="270"/>
      <c r="DE102" s="270"/>
      <c r="DF102" s="270"/>
      <c r="DG102" s="270"/>
      <c r="DH102" s="270"/>
      <c r="DI102" s="271"/>
      <c r="DJ102" s="270"/>
      <c r="DK102" s="270"/>
      <c r="DL102" s="270"/>
      <c r="DM102" s="270"/>
      <c r="DN102" s="270"/>
      <c r="DO102" s="270"/>
      <c r="DP102" s="271"/>
      <c r="DQ102" s="270"/>
      <c r="DR102" s="270"/>
      <c r="DS102" s="270"/>
      <c r="DT102" s="270"/>
      <c r="DU102" s="270"/>
      <c r="DV102" s="270"/>
      <c r="DW102" s="271"/>
      <c r="DX102" s="270"/>
      <c r="DY102" s="270"/>
      <c r="DZ102" s="270"/>
      <c r="EA102" s="270"/>
      <c r="EB102" s="270"/>
      <c r="EC102" s="270"/>
      <c r="ED102" s="271"/>
      <c r="EE102" s="270"/>
      <c r="EF102" s="270"/>
      <c r="EG102" s="270"/>
      <c r="EH102" s="270"/>
      <c r="EI102" s="270"/>
      <c r="EJ102" s="270"/>
      <c r="EK102" s="271"/>
      <c r="EL102" s="270"/>
      <c r="EM102" s="270"/>
      <c r="EN102" s="270"/>
      <c r="EO102" s="270"/>
      <c r="EP102" s="270"/>
      <c r="EQ102" s="270"/>
      <c r="ER102" s="271"/>
      <c r="ES102" s="270"/>
      <c r="ET102" s="270"/>
      <c r="EU102" s="270"/>
      <c r="EV102" s="270"/>
      <c r="EW102" s="270"/>
      <c r="EX102" s="270"/>
      <c r="EY102" s="271"/>
      <c r="EZ102" s="270"/>
      <c r="FA102" s="270"/>
      <c r="FB102" s="270"/>
      <c r="FC102" s="270"/>
      <c r="FD102" s="270"/>
      <c r="FE102" s="270"/>
      <c r="FF102" s="271"/>
      <c r="FG102" s="270"/>
      <c r="FH102" s="270"/>
      <c r="FI102" s="270"/>
      <c r="FJ102" s="270"/>
      <c r="FK102" s="270"/>
      <c r="FL102" s="270"/>
      <c r="FM102" s="271"/>
      <c r="FN102" s="270"/>
      <c r="FO102" s="270"/>
      <c r="FP102" s="270"/>
      <c r="FQ102" s="270"/>
      <c r="FR102" s="270"/>
      <c r="FS102" s="270"/>
      <c r="FT102" s="271"/>
      <c r="FU102" s="270"/>
      <c r="FV102" s="270"/>
      <c r="FW102" s="270"/>
      <c r="FX102" s="270"/>
      <c r="FY102" s="270"/>
      <c r="FZ102" s="270"/>
      <c r="GA102" s="271"/>
    </row>
    <row r="103" spans="1:183" ht="12.75">
      <c r="A103" s="269" t="s">
        <v>261</v>
      </c>
      <c r="B103" s="270"/>
      <c r="C103" s="270"/>
      <c r="D103" s="270"/>
      <c r="E103" s="270"/>
      <c r="F103" s="270"/>
      <c r="G103" s="270"/>
      <c r="H103" s="271"/>
      <c r="I103" s="270"/>
      <c r="J103" s="270"/>
      <c r="K103" s="270"/>
      <c r="L103" s="270"/>
      <c r="M103" s="270"/>
      <c r="N103" s="270"/>
      <c r="O103" s="271"/>
      <c r="P103" s="270"/>
      <c r="Q103" s="270"/>
      <c r="R103" s="270"/>
      <c r="S103" s="270"/>
      <c r="T103" s="270"/>
      <c r="U103" s="270"/>
      <c r="V103" s="271"/>
      <c r="W103" s="270"/>
      <c r="X103" s="270"/>
      <c r="Y103" s="270"/>
      <c r="Z103" s="270"/>
      <c r="AA103" s="270"/>
      <c r="AB103" s="270"/>
      <c r="AC103" s="271"/>
      <c r="AD103" s="270"/>
      <c r="AE103" s="270"/>
      <c r="AF103" s="270"/>
      <c r="AG103" s="270"/>
      <c r="AH103" s="270"/>
      <c r="AI103" s="270"/>
      <c r="AJ103" s="271"/>
      <c r="AK103" s="270"/>
      <c r="AL103" s="270"/>
      <c r="AM103" s="270"/>
      <c r="AN103" s="270"/>
      <c r="AO103" s="270"/>
      <c r="AP103" s="270"/>
      <c r="AQ103" s="271"/>
      <c r="AR103" s="270"/>
      <c r="AS103" s="270"/>
      <c r="AT103" s="270"/>
      <c r="AU103" s="270"/>
      <c r="AV103" s="270"/>
      <c r="AW103" s="270"/>
      <c r="AX103" s="271"/>
      <c r="AY103" s="270"/>
      <c r="AZ103" s="270"/>
      <c r="BA103" s="270"/>
      <c r="BB103" s="270"/>
      <c r="BC103" s="270"/>
      <c r="BD103" s="270"/>
      <c r="BE103" s="271"/>
      <c r="BF103" s="270"/>
      <c r="BG103" s="270"/>
      <c r="BH103" s="270"/>
      <c r="BI103" s="270"/>
      <c r="BJ103" s="270"/>
      <c r="BK103" s="270"/>
      <c r="BL103" s="271"/>
      <c r="BM103" s="270"/>
      <c r="BN103" s="270"/>
      <c r="BO103" s="270"/>
      <c r="BP103" s="270"/>
      <c r="BQ103" s="270"/>
      <c r="BR103" s="270"/>
      <c r="BS103" s="271"/>
      <c r="BT103" s="270"/>
      <c r="BU103" s="270"/>
      <c r="BV103" s="270"/>
      <c r="BW103" s="270"/>
      <c r="BX103" s="270"/>
      <c r="BY103" s="270"/>
      <c r="BZ103" s="271"/>
      <c r="CA103" s="270"/>
      <c r="CB103" s="270"/>
      <c r="CC103" s="270"/>
      <c r="CD103" s="270"/>
      <c r="CE103" s="270"/>
      <c r="CF103" s="270"/>
      <c r="CG103" s="271"/>
      <c r="CH103" s="270"/>
      <c r="CI103" s="270"/>
      <c r="CJ103" s="270"/>
      <c r="CK103" s="270"/>
      <c r="CL103" s="270"/>
      <c r="CM103" s="270"/>
      <c r="CN103" s="271"/>
      <c r="CO103" s="270"/>
      <c r="CP103" s="270"/>
      <c r="CQ103" s="270"/>
      <c r="CR103" s="270"/>
      <c r="CS103" s="270"/>
      <c r="CT103" s="270"/>
      <c r="CU103" s="271"/>
      <c r="CV103" s="270"/>
      <c r="CW103" s="270"/>
      <c r="CX103" s="270"/>
      <c r="CY103" s="270"/>
      <c r="CZ103" s="270"/>
      <c r="DA103" s="270"/>
      <c r="DB103" s="271"/>
      <c r="DC103" s="270"/>
      <c r="DD103" s="270"/>
      <c r="DE103" s="270"/>
      <c r="DF103" s="270"/>
      <c r="DG103" s="270"/>
      <c r="DH103" s="270"/>
      <c r="DI103" s="271"/>
      <c r="DJ103" s="270"/>
      <c r="DK103" s="270"/>
      <c r="DL103" s="270"/>
      <c r="DM103" s="270"/>
      <c r="DN103" s="270"/>
      <c r="DO103" s="270"/>
      <c r="DP103" s="271"/>
      <c r="DQ103" s="270"/>
      <c r="DR103" s="270"/>
      <c r="DS103" s="270"/>
      <c r="DT103" s="270"/>
      <c r="DU103" s="270"/>
      <c r="DV103" s="270"/>
      <c r="DW103" s="271"/>
      <c r="DX103" s="270"/>
      <c r="DY103" s="270"/>
      <c r="DZ103" s="270"/>
      <c r="EA103" s="270"/>
      <c r="EB103" s="270"/>
      <c r="EC103" s="270"/>
      <c r="ED103" s="271"/>
      <c r="EE103" s="270"/>
      <c r="EF103" s="270"/>
      <c r="EG103" s="270"/>
      <c r="EH103" s="270"/>
      <c r="EI103" s="270"/>
      <c r="EJ103" s="270"/>
      <c r="EK103" s="271"/>
      <c r="EL103" s="270"/>
      <c r="EM103" s="270"/>
      <c r="EN103" s="270"/>
      <c r="EO103" s="270"/>
      <c r="EP103" s="270"/>
      <c r="EQ103" s="270"/>
      <c r="ER103" s="271"/>
      <c r="ES103" s="270"/>
      <c r="ET103" s="270"/>
      <c r="EU103" s="270"/>
      <c r="EV103" s="270"/>
      <c r="EW103" s="270"/>
      <c r="EX103" s="270"/>
      <c r="EY103" s="271"/>
      <c r="EZ103" s="270"/>
      <c r="FA103" s="270"/>
      <c r="FB103" s="270"/>
      <c r="FC103" s="270"/>
      <c r="FD103" s="270"/>
      <c r="FE103" s="270"/>
      <c r="FF103" s="271"/>
      <c r="FG103" s="270"/>
      <c r="FH103" s="270"/>
      <c r="FI103" s="270"/>
      <c r="FJ103" s="270"/>
      <c r="FK103" s="270"/>
      <c r="FL103" s="270"/>
      <c r="FM103" s="271"/>
      <c r="FN103" s="270"/>
      <c r="FO103" s="270"/>
      <c r="FP103" s="270"/>
      <c r="FQ103" s="270"/>
      <c r="FR103" s="270"/>
      <c r="FS103" s="270"/>
      <c r="FT103" s="271"/>
      <c r="FU103" s="270"/>
      <c r="FV103" s="270"/>
      <c r="FW103" s="270"/>
      <c r="FX103" s="270"/>
      <c r="FY103" s="270"/>
      <c r="FZ103" s="270"/>
      <c r="GA103" s="271"/>
    </row>
    <row r="104" spans="1:183" ht="12.75">
      <c r="A104" s="269" t="s">
        <v>2</v>
      </c>
      <c r="B104" s="270"/>
      <c r="C104" s="270"/>
      <c r="D104" s="270"/>
      <c r="E104" s="270"/>
      <c r="F104" s="270"/>
      <c r="G104" s="270"/>
      <c r="H104" s="271"/>
      <c r="I104" s="270"/>
      <c r="J104" s="270"/>
      <c r="K104" s="270"/>
      <c r="L104" s="270"/>
      <c r="M104" s="270"/>
      <c r="N104" s="270"/>
      <c r="O104" s="271"/>
      <c r="P104" s="270"/>
      <c r="Q104" s="270"/>
      <c r="R104" s="270"/>
      <c r="S104" s="270"/>
      <c r="T104" s="270"/>
      <c r="U104" s="270"/>
      <c r="V104" s="271"/>
      <c r="W104" s="270"/>
      <c r="X104" s="270"/>
      <c r="Y104" s="270"/>
      <c r="Z104" s="270"/>
      <c r="AA104" s="270"/>
      <c r="AB104" s="270"/>
      <c r="AC104" s="271"/>
      <c r="AD104" s="270"/>
      <c r="AE104" s="270"/>
      <c r="AF104" s="270"/>
      <c r="AG104" s="270"/>
      <c r="AH104" s="270"/>
      <c r="AI104" s="270"/>
      <c r="AJ104" s="271"/>
      <c r="AK104" s="270"/>
      <c r="AL104" s="270"/>
      <c r="AM104" s="270"/>
      <c r="AN104" s="270"/>
      <c r="AO104" s="270"/>
      <c r="AP104" s="270"/>
      <c r="AQ104" s="271"/>
      <c r="AR104" s="270"/>
      <c r="AS104" s="270"/>
      <c r="AT104" s="270"/>
      <c r="AU104" s="270"/>
      <c r="AV104" s="270"/>
      <c r="AW104" s="270"/>
      <c r="AX104" s="271"/>
      <c r="AY104" s="270"/>
      <c r="AZ104" s="270"/>
      <c r="BA104" s="270"/>
      <c r="BB104" s="270"/>
      <c r="BC104" s="270"/>
      <c r="BD104" s="270"/>
      <c r="BE104" s="271"/>
      <c r="BF104" s="270"/>
      <c r="BG104" s="270"/>
      <c r="BH104" s="270"/>
      <c r="BI104" s="270"/>
      <c r="BJ104" s="270"/>
      <c r="BK104" s="270"/>
      <c r="BL104" s="271"/>
      <c r="BM104" s="270"/>
      <c r="BN104" s="270"/>
      <c r="BO104" s="270"/>
      <c r="BP104" s="270"/>
      <c r="BQ104" s="270"/>
      <c r="BR104" s="270"/>
      <c r="BS104" s="271"/>
      <c r="BT104" s="270"/>
      <c r="BU104" s="270"/>
      <c r="BV104" s="270"/>
      <c r="BW104" s="270"/>
      <c r="BX104" s="270"/>
      <c r="BY104" s="270"/>
      <c r="BZ104" s="271"/>
      <c r="CA104" s="270"/>
      <c r="CB104" s="270"/>
      <c r="CC104" s="270"/>
      <c r="CD104" s="270"/>
      <c r="CE104" s="270"/>
      <c r="CF104" s="270"/>
      <c r="CG104" s="271"/>
      <c r="CH104" s="270"/>
      <c r="CI104" s="270"/>
      <c r="CJ104" s="270"/>
      <c r="CK104" s="270"/>
      <c r="CL104" s="270"/>
      <c r="CM104" s="270"/>
      <c r="CN104" s="271"/>
      <c r="CO104" s="270"/>
      <c r="CP104" s="270"/>
      <c r="CQ104" s="270"/>
      <c r="CR104" s="270"/>
      <c r="CS104" s="270"/>
      <c r="CT104" s="270"/>
      <c r="CU104" s="271"/>
      <c r="CV104" s="270"/>
      <c r="CW104" s="270"/>
      <c r="CX104" s="270"/>
      <c r="CY104" s="270"/>
      <c r="CZ104" s="270"/>
      <c r="DA104" s="270"/>
      <c r="DB104" s="271"/>
      <c r="DC104" s="270"/>
      <c r="DD104" s="270"/>
      <c r="DE104" s="270"/>
      <c r="DF104" s="270"/>
      <c r="DG104" s="270"/>
      <c r="DH104" s="270"/>
      <c r="DI104" s="271"/>
      <c r="DJ104" s="270"/>
      <c r="DK104" s="270"/>
      <c r="DL104" s="270"/>
      <c r="DM104" s="270"/>
      <c r="DN104" s="270"/>
      <c r="DO104" s="270"/>
      <c r="DP104" s="271"/>
      <c r="DQ104" s="270"/>
      <c r="DR104" s="270"/>
      <c r="DS104" s="270"/>
      <c r="DT104" s="270"/>
      <c r="DU104" s="270"/>
      <c r="DV104" s="270"/>
      <c r="DW104" s="271"/>
      <c r="DX104" s="270"/>
      <c r="DY104" s="270"/>
      <c r="DZ104" s="270"/>
      <c r="EA104" s="270"/>
      <c r="EB104" s="270"/>
      <c r="EC104" s="270"/>
      <c r="ED104" s="271"/>
      <c r="EE104" s="270"/>
      <c r="EF104" s="270"/>
      <c r="EG104" s="270"/>
      <c r="EH104" s="270"/>
      <c r="EI104" s="270"/>
      <c r="EJ104" s="270"/>
      <c r="EK104" s="271"/>
      <c r="EL104" s="270"/>
      <c r="EM104" s="270"/>
      <c r="EN104" s="270"/>
      <c r="EO104" s="270"/>
      <c r="EP104" s="270"/>
      <c r="EQ104" s="270"/>
      <c r="ER104" s="271"/>
      <c r="ES104" s="270"/>
      <c r="ET104" s="270"/>
      <c r="EU104" s="270"/>
      <c r="EV104" s="270"/>
      <c r="EW104" s="270"/>
      <c r="EX104" s="270"/>
      <c r="EY104" s="271"/>
      <c r="EZ104" s="270"/>
      <c r="FA104" s="270"/>
      <c r="FB104" s="270"/>
      <c r="FC104" s="270"/>
      <c r="FD104" s="270"/>
      <c r="FE104" s="270"/>
      <c r="FF104" s="271"/>
      <c r="FG104" s="270"/>
      <c r="FH104" s="270"/>
      <c r="FI104" s="270"/>
      <c r="FJ104" s="270"/>
      <c r="FK104" s="270"/>
      <c r="FL104" s="270"/>
      <c r="FM104" s="271"/>
      <c r="FN104" s="270"/>
      <c r="FO104" s="270"/>
      <c r="FP104" s="270"/>
      <c r="FQ104" s="270"/>
      <c r="FR104" s="270"/>
      <c r="FS104" s="270"/>
      <c r="FT104" s="271"/>
      <c r="FU104" s="270"/>
      <c r="FV104" s="270"/>
      <c r="FW104" s="270"/>
      <c r="FX104" s="270"/>
      <c r="FY104" s="270"/>
      <c r="FZ104" s="270"/>
      <c r="GA104" s="271"/>
    </row>
    <row r="105" spans="1:183" ht="12.75">
      <c r="A105" s="269" t="s">
        <v>262</v>
      </c>
      <c r="B105" s="270"/>
      <c r="C105" s="270"/>
      <c r="D105" s="270"/>
      <c r="E105" s="270"/>
      <c r="F105" s="270"/>
      <c r="G105" s="270"/>
      <c r="H105" s="271"/>
      <c r="I105" s="270"/>
      <c r="J105" s="270"/>
      <c r="K105" s="270"/>
      <c r="L105" s="270"/>
      <c r="M105" s="270"/>
      <c r="N105" s="270"/>
      <c r="O105" s="271"/>
      <c r="P105" s="270"/>
      <c r="Q105" s="270"/>
      <c r="R105" s="270"/>
      <c r="S105" s="270"/>
      <c r="T105" s="270"/>
      <c r="U105" s="270"/>
      <c r="V105" s="271"/>
      <c r="W105" s="270"/>
      <c r="X105" s="270"/>
      <c r="Y105" s="270"/>
      <c r="Z105" s="270"/>
      <c r="AA105" s="270"/>
      <c r="AB105" s="270"/>
      <c r="AC105" s="271"/>
      <c r="AD105" s="270"/>
      <c r="AE105" s="270"/>
      <c r="AF105" s="270"/>
      <c r="AG105" s="270"/>
      <c r="AH105" s="270"/>
      <c r="AI105" s="270"/>
      <c r="AJ105" s="271"/>
      <c r="AK105" s="270"/>
      <c r="AL105" s="270"/>
      <c r="AM105" s="270"/>
      <c r="AN105" s="270"/>
      <c r="AO105" s="270"/>
      <c r="AP105" s="270"/>
      <c r="AQ105" s="271"/>
      <c r="AR105" s="270"/>
      <c r="AS105" s="270"/>
      <c r="AT105" s="270"/>
      <c r="AU105" s="270"/>
      <c r="AV105" s="270"/>
      <c r="AW105" s="270"/>
      <c r="AX105" s="271"/>
      <c r="AY105" s="270"/>
      <c r="AZ105" s="270"/>
      <c r="BA105" s="270"/>
      <c r="BB105" s="270"/>
      <c r="BC105" s="270"/>
      <c r="BD105" s="270"/>
      <c r="BE105" s="271"/>
      <c r="BF105" s="270"/>
      <c r="BG105" s="270"/>
      <c r="BH105" s="270"/>
      <c r="BI105" s="270"/>
      <c r="BJ105" s="270"/>
      <c r="BK105" s="270"/>
      <c r="BL105" s="271"/>
      <c r="BM105" s="270"/>
      <c r="BN105" s="270"/>
      <c r="BO105" s="270"/>
      <c r="BP105" s="270"/>
      <c r="BQ105" s="270"/>
      <c r="BR105" s="270"/>
      <c r="BS105" s="271"/>
      <c r="BT105" s="270"/>
      <c r="BU105" s="270"/>
      <c r="BV105" s="270"/>
      <c r="BW105" s="270"/>
      <c r="BX105" s="270"/>
      <c r="BY105" s="270"/>
      <c r="BZ105" s="271"/>
      <c r="CA105" s="270"/>
      <c r="CB105" s="270"/>
      <c r="CC105" s="270"/>
      <c r="CD105" s="270"/>
      <c r="CE105" s="270"/>
      <c r="CF105" s="270"/>
      <c r="CG105" s="271"/>
      <c r="CH105" s="270"/>
      <c r="CI105" s="270"/>
      <c r="CJ105" s="270"/>
      <c r="CK105" s="270"/>
      <c r="CL105" s="270"/>
      <c r="CM105" s="270"/>
      <c r="CN105" s="271"/>
      <c r="CO105" s="270"/>
      <c r="CP105" s="270"/>
      <c r="CQ105" s="270"/>
      <c r="CR105" s="270"/>
      <c r="CS105" s="270"/>
      <c r="CT105" s="270"/>
      <c r="CU105" s="271"/>
      <c r="CV105" s="270"/>
      <c r="CW105" s="270"/>
      <c r="CX105" s="270"/>
      <c r="CY105" s="270"/>
      <c r="CZ105" s="270"/>
      <c r="DA105" s="270"/>
      <c r="DB105" s="271"/>
      <c r="DC105" s="270"/>
      <c r="DD105" s="270"/>
      <c r="DE105" s="270"/>
      <c r="DF105" s="270"/>
      <c r="DG105" s="270"/>
      <c r="DH105" s="270"/>
      <c r="DI105" s="271"/>
      <c r="DJ105" s="270"/>
      <c r="DK105" s="270"/>
      <c r="DL105" s="270"/>
      <c r="DM105" s="270"/>
      <c r="DN105" s="270"/>
      <c r="DO105" s="270"/>
      <c r="DP105" s="271"/>
      <c r="DQ105" s="270"/>
      <c r="DR105" s="270"/>
      <c r="DS105" s="270"/>
      <c r="DT105" s="270"/>
      <c r="DU105" s="270"/>
      <c r="DV105" s="270"/>
      <c r="DW105" s="271"/>
      <c r="DX105" s="270"/>
      <c r="DY105" s="270"/>
      <c r="DZ105" s="270"/>
      <c r="EA105" s="270"/>
      <c r="EB105" s="270"/>
      <c r="EC105" s="270"/>
      <c r="ED105" s="271"/>
      <c r="EE105" s="270"/>
      <c r="EF105" s="270"/>
      <c r="EG105" s="270"/>
      <c r="EH105" s="270"/>
      <c r="EI105" s="270"/>
      <c r="EJ105" s="270"/>
      <c r="EK105" s="271"/>
      <c r="EL105" s="270"/>
      <c r="EM105" s="270"/>
      <c r="EN105" s="270"/>
      <c r="EO105" s="270"/>
      <c r="EP105" s="270"/>
      <c r="EQ105" s="270"/>
      <c r="ER105" s="271"/>
      <c r="ES105" s="270"/>
      <c r="ET105" s="270"/>
      <c r="EU105" s="270"/>
      <c r="EV105" s="270"/>
      <c r="EW105" s="270"/>
      <c r="EX105" s="270"/>
      <c r="EY105" s="271"/>
      <c r="EZ105" s="270"/>
      <c r="FA105" s="270"/>
      <c r="FB105" s="270"/>
      <c r="FC105" s="270"/>
      <c r="FD105" s="270"/>
      <c r="FE105" s="270"/>
      <c r="FF105" s="271"/>
      <c r="FG105" s="270"/>
      <c r="FH105" s="270"/>
      <c r="FI105" s="270"/>
      <c r="FJ105" s="270"/>
      <c r="FK105" s="270"/>
      <c r="FL105" s="270"/>
      <c r="FM105" s="271"/>
      <c r="FN105" s="270"/>
      <c r="FO105" s="270"/>
      <c r="FP105" s="270"/>
      <c r="FQ105" s="270"/>
      <c r="FR105" s="270"/>
      <c r="FS105" s="270"/>
      <c r="FT105" s="271"/>
      <c r="FU105" s="270"/>
      <c r="FV105" s="270"/>
      <c r="FW105" s="270"/>
      <c r="FX105" s="270"/>
      <c r="FY105" s="270"/>
      <c r="FZ105" s="270"/>
      <c r="GA105" s="271"/>
    </row>
    <row r="106" spans="1:183" ht="12.75">
      <c r="A106" s="277" t="s">
        <v>263</v>
      </c>
      <c r="B106" s="270"/>
      <c r="C106" s="270"/>
      <c r="D106" s="270"/>
      <c r="E106" s="270"/>
      <c r="F106" s="270"/>
      <c r="G106" s="270"/>
      <c r="H106" s="271"/>
      <c r="I106" s="270"/>
      <c r="J106" s="270"/>
      <c r="K106" s="270"/>
      <c r="L106" s="270"/>
      <c r="M106" s="270"/>
      <c r="N106" s="270"/>
      <c r="O106" s="271"/>
      <c r="P106" s="270"/>
      <c r="Q106" s="270"/>
      <c r="R106" s="270"/>
      <c r="S106" s="270"/>
      <c r="T106" s="270"/>
      <c r="U106" s="270"/>
      <c r="V106" s="271"/>
      <c r="W106" s="270"/>
      <c r="X106" s="270"/>
      <c r="Y106" s="270"/>
      <c r="Z106" s="270"/>
      <c r="AA106" s="270"/>
      <c r="AB106" s="270"/>
      <c r="AC106" s="271"/>
      <c r="AD106" s="270"/>
      <c r="AE106" s="270"/>
      <c r="AF106" s="270"/>
      <c r="AG106" s="270"/>
      <c r="AH106" s="270"/>
      <c r="AI106" s="270"/>
      <c r="AJ106" s="271"/>
      <c r="AK106" s="270"/>
      <c r="AL106" s="270"/>
      <c r="AM106" s="270"/>
      <c r="AN106" s="270"/>
      <c r="AO106" s="270"/>
      <c r="AP106" s="270"/>
      <c r="AQ106" s="271"/>
      <c r="AR106" s="270"/>
      <c r="AS106" s="270"/>
      <c r="AT106" s="270"/>
      <c r="AU106" s="270"/>
      <c r="AV106" s="270"/>
      <c r="AW106" s="270"/>
      <c r="AX106" s="271"/>
      <c r="AY106" s="270"/>
      <c r="AZ106" s="270"/>
      <c r="BA106" s="270"/>
      <c r="BB106" s="270"/>
      <c r="BC106" s="270"/>
      <c r="BD106" s="270"/>
      <c r="BE106" s="271"/>
      <c r="BF106" s="270"/>
      <c r="BG106" s="270"/>
      <c r="BH106" s="270"/>
      <c r="BI106" s="270"/>
      <c r="BJ106" s="270"/>
      <c r="BK106" s="270"/>
      <c r="BL106" s="271"/>
      <c r="BM106" s="270"/>
      <c r="BN106" s="270"/>
      <c r="BO106" s="270"/>
      <c r="BP106" s="270"/>
      <c r="BQ106" s="270"/>
      <c r="BR106" s="270"/>
      <c r="BS106" s="271"/>
      <c r="BT106" s="270"/>
      <c r="BU106" s="270"/>
      <c r="BV106" s="270"/>
      <c r="BW106" s="270"/>
      <c r="BX106" s="270"/>
      <c r="BY106" s="270"/>
      <c r="BZ106" s="271"/>
      <c r="CA106" s="270"/>
      <c r="CB106" s="270"/>
      <c r="CC106" s="270"/>
      <c r="CD106" s="270"/>
      <c r="CE106" s="270"/>
      <c r="CF106" s="270"/>
      <c r="CG106" s="271"/>
      <c r="CH106" s="270"/>
      <c r="CI106" s="270"/>
      <c r="CJ106" s="270"/>
      <c r="CK106" s="270"/>
      <c r="CL106" s="270"/>
      <c r="CM106" s="270"/>
      <c r="CN106" s="271"/>
      <c r="CO106" s="270"/>
      <c r="CP106" s="270"/>
      <c r="CQ106" s="270"/>
      <c r="CR106" s="270"/>
      <c r="CS106" s="270"/>
      <c r="CT106" s="270"/>
      <c r="CU106" s="271"/>
      <c r="CV106" s="270"/>
      <c r="CW106" s="270"/>
      <c r="CX106" s="270"/>
      <c r="CY106" s="270"/>
      <c r="CZ106" s="270"/>
      <c r="DA106" s="270"/>
      <c r="DB106" s="271"/>
      <c r="DC106" s="270"/>
      <c r="DD106" s="270"/>
      <c r="DE106" s="270"/>
      <c r="DF106" s="270"/>
      <c r="DG106" s="270"/>
      <c r="DH106" s="270"/>
      <c r="DI106" s="271"/>
      <c r="DJ106" s="270"/>
      <c r="DK106" s="270"/>
      <c r="DL106" s="270"/>
      <c r="DM106" s="270"/>
      <c r="DN106" s="270"/>
      <c r="DO106" s="270"/>
      <c r="DP106" s="271"/>
      <c r="DQ106" s="270"/>
      <c r="DR106" s="270"/>
      <c r="DS106" s="270"/>
      <c r="DT106" s="270"/>
      <c r="DU106" s="270"/>
      <c r="DV106" s="270"/>
      <c r="DW106" s="271"/>
      <c r="DX106" s="270"/>
      <c r="DY106" s="270"/>
      <c r="DZ106" s="270"/>
      <c r="EA106" s="270"/>
      <c r="EB106" s="270"/>
      <c r="EC106" s="270"/>
      <c r="ED106" s="271"/>
      <c r="EE106" s="270"/>
      <c r="EF106" s="270"/>
      <c r="EG106" s="270"/>
      <c r="EH106" s="270"/>
      <c r="EI106" s="270"/>
      <c r="EJ106" s="270"/>
      <c r="EK106" s="271"/>
      <c r="EL106" s="270"/>
      <c r="EM106" s="270"/>
      <c r="EN106" s="270"/>
      <c r="EO106" s="270"/>
      <c r="EP106" s="270"/>
      <c r="EQ106" s="270"/>
      <c r="ER106" s="271"/>
      <c r="ES106" s="270"/>
      <c r="ET106" s="270"/>
      <c r="EU106" s="270"/>
      <c r="EV106" s="270"/>
      <c r="EW106" s="270"/>
      <c r="EX106" s="270"/>
      <c r="EY106" s="271"/>
      <c r="EZ106" s="270"/>
      <c r="FA106" s="270"/>
      <c r="FB106" s="270"/>
      <c r="FC106" s="270"/>
      <c r="FD106" s="270"/>
      <c r="FE106" s="270"/>
      <c r="FF106" s="271"/>
      <c r="FG106" s="270"/>
      <c r="FH106" s="270"/>
      <c r="FI106" s="270"/>
      <c r="FJ106" s="270"/>
      <c r="FK106" s="270"/>
      <c r="FL106" s="270"/>
      <c r="FM106" s="271"/>
      <c r="FN106" s="270"/>
      <c r="FO106" s="270"/>
      <c r="FP106" s="270"/>
      <c r="FQ106" s="270"/>
      <c r="FR106" s="270"/>
      <c r="FS106" s="270"/>
      <c r="FT106" s="271"/>
      <c r="FU106" s="270"/>
      <c r="FV106" s="270"/>
      <c r="FW106" s="270"/>
      <c r="FX106" s="270"/>
      <c r="FY106" s="270"/>
      <c r="FZ106" s="270"/>
      <c r="GA106" s="271"/>
    </row>
    <row r="107" spans="1:183" ht="12.75">
      <c r="A107" s="278" t="s">
        <v>264</v>
      </c>
      <c r="B107" s="280">
        <f aca="true" t="shared" si="158" ref="B107:AE107">PRODUCT(5*B100+4.5*B101+6*B102+4*B103+4*B104+6.5*B105)</f>
        <v>0</v>
      </c>
      <c r="C107" s="280">
        <f t="shared" si="158"/>
        <v>0</v>
      </c>
      <c r="D107" s="280">
        <f t="shared" si="158"/>
        <v>0</v>
      </c>
      <c r="E107" s="280">
        <f t="shared" si="158"/>
        <v>0</v>
      </c>
      <c r="F107" s="280">
        <f t="shared" si="158"/>
        <v>0</v>
      </c>
      <c r="G107" s="280">
        <f t="shared" si="158"/>
        <v>0</v>
      </c>
      <c r="H107" s="280">
        <f t="shared" si="158"/>
        <v>0</v>
      </c>
      <c r="I107" s="280">
        <f t="shared" si="158"/>
        <v>0</v>
      </c>
      <c r="J107" s="280">
        <f t="shared" si="158"/>
        <v>0</v>
      </c>
      <c r="K107" s="280">
        <f t="shared" si="158"/>
        <v>0</v>
      </c>
      <c r="L107" s="280">
        <f t="shared" si="158"/>
        <v>0</v>
      </c>
      <c r="M107" s="280">
        <f t="shared" si="158"/>
        <v>0</v>
      </c>
      <c r="N107" s="280">
        <f t="shared" si="158"/>
        <v>0</v>
      </c>
      <c r="O107" s="280">
        <f t="shared" si="158"/>
        <v>0</v>
      </c>
      <c r="P107" s="280">
        <f t="shared" si="158"/>
        <v>0</v>
      </c>
      <c r="Q107" s="280">
        <f t="shared" si="158"/>
        <v>0</v>
      </c>
      <c r="R107" s="280">
        <f t="shared" si="158"/>
        <v>0</v>
      </c>
      <c r="S107" s="280">
        <f t="shared" si="158"/>
        <v>0</v>
      </c>
      <c r="T107" s="280">
        <f t="shared" si="158"/>
        <v>0</v>
      </c>
      <c r="U107" s="280">
        <f t="shared" si="158"/>
        <v>0</v>
      </c>
      <c r="V107" s="280">
        <f t="shared" si="158"/>
        <v>0</v>
      </c>
      <c r="W107" s="280">
        <f t="shared" si="158"/>
        <v>0</v>
      </c>
      <c r="X107" s="280">
        <f t="shared" si="158"/>
        <v>0</v>
      </c>
      <c r="Y107" s="280">
        <f t="shared" si="158"/>
        <v>0</v>
      </c>
      <c r="Z107" s="280">
        <f t="shared" si="158"/>
        <v>0</v>
      </c>
      <c r="AA107" s="280">
        <f t="shared" si="158"/>
        <v>0</v>
      </c>
      <c r="AB107" s="280">
        <f t="shared" si="158"/>
        <v>0</v>
      </c>
      <c r="AC107" s="280">
        <f t="shared" si="158"/>
        <v>0</v>
      </c>
      <c r="AD107" s="280">
        <f t="shared" si="158"/>
        <v>0</v>
      </c>
      <c r="AE107" s="280">
        <f t="shared" si="158"/>
        <v>0</v>
      </c>
      <c r="AF107" s="280">
        <f>PRODUCT(5*AF100+4.5*AF101+6*AF102+4*AF103+4*AF104+6.5*AF105)</f>
        <v>0</v>
      </c>
      <c r="AG107" s="280">
        <f>PRODUCT(5*AG100+4.5*AG101+6*AG102+4*AG103+4*AG104+6.5*AG105)</f>
        <v>0</v>
      </c>
      <c r="AH107" s="280">
        <f aca="true" t="shared" si="159" ref="AH107:BM107">PRODUCT(5*AH100+4.5*AH101+6*AH102+4*AH103+4*AH104+6.5*AH105)</f>
        <v>0</v>
      </c>
      <c r="AI107" s="280">
        <f t="shared" si="159"/>
        <v>0</v>
      </c>
      <c r="AJ107" s="280">
        <f t="shared" si="159"/>
        <v>0</v>
      </c>
      <c r="AK107" s="280">
        <f t="shared" si="159"/>
        <v>0</v>
      </c>
      <c r="AL107" s="280">
        <f t="shared" si="159"/>
        <v>0</v>
      </c>
      <c r="AM107" s="280">
        <f t="shared" si="159"/>
        <v>0</v>
      </c>
      <c r="AN107" s="280">
        <f t="shared" si="159"/>
        <v>0</v>
      </c>
      <c r="AO107" s="280">
        <f t="shared" si="159"/>
        <v>0</v>
      </c>
      <c r="AP107" s="280">
        <f t="shared" si="159"/>
        <v>0</v>
      </c>
      <c r="AQ107" s="280">
        <f t="shared" si="159"/>
        <v>0</v>
      </c>
      <c r="AR107" s="280">
        <f t="shared" si="159"/>
        <v>0</v>
      </c>
      <c r="AS107" s="280">
        <f t="shared" si="159"/>
        <v>0</v>
      </c>
      <c r="AT107" s="280">
        <f t="shared" si="159"/>
        <v>0</v>
      </c>
      <c r="AU107" s="280">
        <f t="shared" si="159"/>
        <v>0</v>
      </c>
      <c r="AV107" s="280">
        <f t="shared" si="159"/>
        <v>0</v>
      </c>
      <c r="AW107" s="280">
        <f t="shared" si="159"/>
        <v>0</v>
      </c>
      <c r="AX107" s="280">
        <f t="shared" si="159"/>
        <v>0</v>
      </c>
      <c r="AY107" s="280">
        <f t="shared" si="159"/>
        <v>0</v>
      </c>
      <c r="AZ107" s="280">
        <f t="shared" si="159"/>
        <v>0</v>
      </c>
      <c r="BA107" s="280">
        <f t="shared" si="159"/>
        <v>0</v>
      </c>
      <c r="BB107" s="280">
        <f t="shared" si="159"/>
        <v>0</v>
      </c>
      <c r="BC107" s="280">
        <f t="shared" si="159"/>
        <v>0</v>
      </c>
      <c r="BD107" s="280">
        <f t="shared" si="159"/>
        <v>0</v>
      </c>
      <c r="BE107" s="280">
        <f t="shared" si="159"/>
        <v>0</v>
      </c>
      <c r="BF107" s="280">
        <f t="shared" si="159"/>
        <v>0</v>
      </c>
      <c r="BG107" s="280">
        <f t="shared" si="159"/>
        <v>0</v>
      </c>
      <c r="BH107" s="280">
        <f t="shared" si="159"/>
        <v>0</v>
      </c>
      <c r="BI107" s="280">
        <f t="shared" si="159"/>
        <v>0</v>
      </c>
      <c r="BJ107" s="280">
        <f t="shared" si="159"/>
        <v>0</v>
      </c>
      <c r="BK107" s="280">
        <f t="shared" si="159"/>
        <v>0</v>
      </c>
      <c r="BL107" s="280">
        <f t="shared" si="159"/>
        <v>0</v>
      </c>
      <c r="BM107" s="280">
        <f t="shared" si="159"/>
        <v>0</v>
      </c>
      <c r="BN107" s="280">
        <f aca="true" t="shared" si="160" ref="BN107:CS107">PRODUCT(5*BN100+4.5*BN101+6*BN102+4*BN103+4*BN104+6.5*BN105)</f>
        <v>0</v>
      </c>
      <c r="BO107" s="280">
        <f t="shared" si="160"/>
        <v>0</v>
      </c>
      <c r="BP107" s="280">
        <f t="shared" si="160"/>
        <v>0</v>
      </c>
      <c r="BQ107" s="280">
        <f t="shared" si="160"/>
        <v>0</v>
      </c>
      <c r="BR107" s="280">
        <f t="shared" si="160"/>
        <v>0</v>
      </c>
      <c r="BS107" s="280">
        <f t="shared" si="160"/>
        <v>0</v>
      </c>
      <c r="BT107" s="280">
        <f t="shared" si="160"/>
        <v>0</v>
      </c>
      <c r="BU107" s="280">
        <f t="shared" si="160"/>
        <v>0</v>
      </c>
      <c r="BV107" s="280">
        <f t="shared" si="160"/>
        <v>0</v>
      </c>
      <c r="BW107" s="280">
        <f t="shared" si="160"/>
        <v>0</v>
      </c>
      <c r="BX107" s="280">
        <f t="shared" si="160"/>
        <v>0</v>
      </c>
      <c r="BY107" s="280">
        <f t="shared" si="160"/>
        <v>0</v>
      </c>
      <c r="BZ107" s="280">
        <f t="shared" si="160"/>
        <v>0</v>
      </c>
      <c r="CA107" s="280">
        <f t="shared" si="160"/>
        <v>0</v>
      </c>
      <c r="CB107" s="280">
        <f t="shared" si="160"/>
        <v>0</v>
      </c>
      <c r="CC107" s="280">
        <f t="shared" si="160"/>
        <v>0</v>
      </c>
      <c r="CD107" s="280">
        <f t="shared" si="160"/>
        <v>0</v>
      </c>
      <c r="CE107" s="280">
        <f t="shared" si="160"/>
        <v>0</v>
      </c>
      <c r="CF107" s="280">
        <f t="shared" si="160"/>
        <v>0</v>
      </c>
      <c r="CG107" s="280">
        <f t="shared" si="160"/>
        <v>0</v>
      </c>
      <c r="CH107" s="280">
        <f t="shared" si="160"/>
        <v>0</v>
      </c>
      <c r="CI107" s="280">
        <f t="shared" si="160"/>
        <v>0</v>
      </c>
      <c r="CJ107" s="280">
        <f t="shared" si="160"/>
        <v>0</v>
      </c>
      <c r="CK107" s="280">
        <f t="shared" si="160"/>
        <v>0</v>
      </c>
      <c r="CL107" s="280">
        <f t="shared" si="160"/>
        <v>0</v>
      </c>
      <c r="CM107" s="280">
        <f t="shared" si="160"/>
        <v>0</v>
      </c>
      <c r="CN107" s="280">
        <f t="shared" si="160"/>
        <v>0</v>
      </c>
      <c r="CO107" s="280">
        <f t="shared" si="160"/>
        <v>0</v>
      </c>
      <c r="CP107" s="280">
        <f t="shared" si="160"/>
        <v>0</v>
      </c>
      <c r="CQ107" s="280">
        <f t="shared" si="160"/>
        <v>0</v>
      </c>
      <c r="CR107" s="280">
        <f t="shared" si="160"/>
        <v>0</v>
      </c>
      <c r="CS107" s="280">
        <f t="shared" si="160"/>
        <v>0</v>
      </c>
      <c r="CT107" s="280">
        <f aca="true" t="shared" si="161" ref="CT107:DY107">PRODUCT(5*CT100+4.5*CT101+6*CT102+4*CT103+4*CT104+6.5*CT105)</f>
        <v>0</v>
      </c>
      <c r="CU107" s="280">
        <f t="shared" si="161"/>
        <v>0</v>
      </c>
      <c r="CV107" s="280">
        <f t="shared" si="161"/>
        <v>0</v>
      </c>
      <c r="CW107" s="280">
        <f t="shared" si="161"/>
        <v>0</v>
      </c>
      <c r="CX107" s="280">
        <f t="shared" si="161"/>
        <v>0</v>
      </c>
      <c r="CY107" s="280">
        <f t="shared" si="161"/>
        <v>0</v>
      </c>
      <c r="CZ107" s="280">
        <f t="shared" si="161"/>
        <v>0</v>
      </c>
      <c r="DA107" s="280">
        <f t="shared" si="161"/>
        <v>0</v>
      </c>
      <c r="DB107" s="280">
        <f t="shared" si="161"/>
        <v>0</v>
      </c>
      <c r="DC107" s="280">
        <f t="shared" si="161"/>
        <v>0</v>
      </c>
      <c r="DD107" s="280">
        <f t="shared" si="161"/>
        <v>0</v>
      </c>
      <c r="DE107" s="280">
        <f t="shared" si="161"/>
        <v>0</v>
      </c>
      <c r="DF107" s="280">
        <f t="shared" si="161"/>
        <v>0</v>
      </c>
      <c r="DG107" s="280">
        <f t="shared" si="161"/>
        <v>0</v>
      </c>
      <c r="DH107" s="280">
        <f t="shared" si="161"/>
        <v>0</v>
      </c>
      <c r="DI107" s="280">
        <f t="shared" si="161"/>
        <v>0</v>
      </c>
      <c r="DJ107" s="280">
        <f t="shared" si="161"/>
        <v>0</v>
      </c>
      <c r="DK107" s="280">
        <f t="shared" si="161"/>
        <v>0</v>
      </c>
      <c r="DL107" s="280">
        <f t="shared" si="161"/>
        <v>0</v>
      </c>
      <c r="DM107" s="280">
        <f t="shared" si="161"/>
        <v>0</v>
      </c>
      <c r="DN107" s="280">
        <f t="shared" si="161"/>
        <v>0</v>
      </c>
      <c r="DO107" s="280">
        <f t="shared" si="161"/>
        <v>0</v>
      </c>
      <c r="DP107" s="280">
        <f t="shared" si="161"/>
        <v>0</v>
      </c>
      <c r="DQ107" s="280">
        <f t="shared" si="161"/>
        <v>0</v>
      </c>
      <c r="DR107" s="280">
        <f t="shared" si="161"/>
        <v>0</v>
      </c>
      <c r="DS107" s="280">
        <f t="shared" si="161"/>
        <v>0</v>
      </c>
      <c r="DT107" s="280">
        <f t="shared" si="161"/>
        <v>0</v>
      </c>
      <c r="DU107" s="280">
        <f t="shared" si="161"/>
        <v>0</v>
      </c>
      <c r="DV107" s="280">
        <f t="shared" si="161"/>
        <v>0</v>
      </c>
      <c r="DW107" s="280">
        <f t="shared" si="161"/>
        <v>0</v>
      </c>
      <c r="DX107" s="280">
        <f t="shared" si="161"/>
        <v>0</v>
      </c>
      <c r="DY107" s="280">
        <f t="shared" si="161"/>
        <v>0</v>
      </c>
      <c r="DZ107" s="280">
        <f aca="true" t="shared" si="162" ref="DZ107:FE107">PRODUCT(5*DZ100+4.5*DZ101+6*DZ102+4*DZ103+4*DZ104+6.5*DZ105)</f>
        <v>0</v>
      </c>
      <c r="EA107" s="280">
        <f t="shared" si="162"/>
        <v>0</v>
      </c>
      <c r="EB107" s="280">
        <f t="shared" si="162"/>
        <v>0</v>
      </c>
      <c r="EC107" s="280">
        <f t="shared" si="162"/>
        <v>0</v>
      </c>
      <c r="ED107" s="280">
        <f t="shared" si="162"/>
        <v>0</v>
      </c>
      <c r="EE107" s="280">
        <f t="shared" si="162"/>
        <v>0</v>
      </c>
      <c r="EF107" s="280">
        <f t="shared" si="162"/>
        <v>0</v>
      </c>
      <c r="EG107" s="280">
        <f t="shared" si="162"/>
        <v>0</v>
      </c>
      <c r="EH107" s="280">
        <f t="shared" si="162"/>
        <v>0</v>
      </c>
      <c r="EI107" s="280">
        <f t="shared" si="162"/>
        <v>0</v>
      </c>
      <c r="EJ107" s="280">
        <f t="shared" si="162"/>
        <v>0</v>
      </c>
      <c r="EK107" s="280">
        <f t="shared" si="162"/>
        <v>0</v>
      </c>
      <c r="EL107" s="280">
        <f t="shared" si="162"/>
        <v>0</v>
      </c>
      <c r="EM107" s="280">
        <f t="shared" si="162"/>
        <v>0</v>
      </c>
      <c r="EN107" s="280">
        <f t="shared" si="162"/>
        <v>0</v>
      </c>
      <c r="EO107" s="280">
        <f t="shared" si="162"/>
        <v>0</v>
      </c>
      <c r="EP107" s="280">
        <f t="shared" si="162"/>
        <v>0</v>
      </c>
      <c r="EQ107" s="280">
        <f t="shared" si="162"/>
        <v>0</v>
      </c>
      <c r="ER107" s="280">
        <f t="shared" si="162"/>
        <v>0</v>
      </c>
      <c r="ES107" s="280">
        <f t="shared" si="162"/>
        <v>0</v>
      </c>
      <c r="ET107" s="280">
        <f t="shared" si="162"/>
        <v>0</v>
      </c>
      <c r="EU107" s="280">
        <f t="shared" si="162"/>
        <v>0</v>
      </c>
      <c r="EV107" s="280">
        <f t="shared" si="162"/>
        <v>0</v>
      </c>
      <c r="EW107" s="280">
        <f t="shared" si="162"/>
        <v>0</v>
      </c>
      <c r="EX107" s="280">
        <f t="shared" si="162"/>
        <v>0</v>
      </c>
      <c r="EY107" s="280">
        <f t="shared" si="162"/>
        <v>0</v>
      </c>
      <c r="EZ107" s="280">
        <f t="shared" si="162"/>
        <v>0</v>
      </c>
      <c r="FA107" s="280">
        <f t="shared" si="162"/>
        <v>0</v>
      </c>
      <c r="FB107" s="280">
        <f t="shared" si="162"/>
        <v>0</v>
      </c>
      <c r="FC107" s="280">
        <f t="shared" si="162"/>
        <v>0</v>
      </c>
      <c r="FD107" s="280">
        <f t="shared" si="162"/>
        <v>0</v>
      </c>
      <c r="FE107" s="280">
        <f t="shared" si="162"/>
        <v>0</v>
      </c>
      <c r="FF107" s="280">
        <f aca="true" t="shared" si="163" ref="FF107:GA107">PRODUCT(5*FF100+4.5*FF101+6*FF102+4*FF103+4*FF104+6.5*FF105)</f>
        <v>0</v>
      </c>
      <c r="FG107" s="280">
        <f t="shared" si="163"/>
        <v>0</v>
      </c>
      <c r="FH107" s="280">
        <f t="shared" si="163"/>
        <v>0</v>
      </c>
      <c r="FI107" s="280">
        <f t="shared" si="163"/>
        <v>0</v>
      </c>
      <c r="FJ107" s="280">
        <f t="shared" si="163"/>
        <v>0</v>
      </c>
      <c r="FK107" s="280">
        <f t="shared" si="163"/>
        <v>0</v>
      </c>
      <c r="FL107" s="280">
        <f t="shared" si="163"/>
        <v>0</v>
      </c>
      <c r="FM107" s="280">
        <f t="shared" si="163"/>
        <v>0</v>
      </c>
      <c r="FN107" s="280">
        <f t="shared" si="163"/>
        <v>0</v>
      </c>
      <c r="FO107" s="280">
        <f t="shared" si="163"/>
        <v>0</v>
      </c>
      <c r="FP107" s="280">
        <f t="shared" si="163"/>
        <v>0</v>
      </c>
      <c r="FQ107" s="280">
        <f t="shared" si="163"/>
        <v>0</v>
      </c>
      <c r="FR107" s="280">
        <f t="shared" si="163"/>
        <v>0</v>
      </c>
      <c r="FS107" s="280">
        <f t="shared" si="163"/>
        <v>0</v>
      </c>
      <c r="FT107" s="280">
        <f t="shared" si="163"/>
        <v>0</v>
      </c>
      <c r="FU107" s="280">
        <f t="shared" si="163"/>
        <v>0</v>
      </c>
      <c r="FV107" s="280">
        <f t="shared" si="163"/>
        <v>0</v>
      </c>
      <c r="FW107" s="280">
        <f t="shared" si="163"/>
        <v>0</v>
      </c>
      <c r="FX107" s="280">
        <f t="shared" si="163"/>
        <v>0</v>
      </c>
      <c r="FY107" s="280">
        <f t="shared" si="163"/>
        <v>0</v>
      </c>
      <c r="FZ107" s="280">
        <f t="shared" si="163"/>
        <v>0</v>
      </c>
      <c r="GA107" s="280">
        <f t="shared" si="163"/>
        <v>0</v>
      </c>
    </row>
    <row r="108" spans="1:183" ht="12.75">
      <c r="A108" s="281" t="s">
        <v>268</v>
      </c>
      <c r="B108" s="282"/>
      <c r="C108" s="282"/>
      <c r="D108" s="282"/>
      <c r="E108" s="282"/>
      <c r="F108" s="282"/>
      <c r="G108" s="282"/>
      <c r="H108" s="283"/>
      <c r="I108" s="282"/>
      <c r="J108" s="282"/>
      <c r="K108" s="282"/>
      <c r="L108" s="282"/>
      <c r="M108" s="282"/>
      <c r="N108" s="282"/>
      <c r="O108" s="283"/>
      <c r="P108" s="282"/>
      <c r="Q108" s="282"/>
      <c r="R108" s="282"/>
      <c r="S108" s="282"/>
      <c r="T108" s="282"/>
      <c r="U108" s="282"/>
      <c r="V108" s="283"/>
      <c r="W108" s="282"/>
      <c r="X108" s="282"/>
      <c r="Y108" s="282"/>
      <c r="Z108" s="282"/>
      <c r="AA108" s="282"/>
      <c r="AB108" s="282"/>
      <c r="AC108" s="283"/>
      <c r="AD108" s="282"/>
      <c r="AE108" s="282"/>
      <c r="AF108" s="282"/>
      <c r="AG108" s="282"/>
      <c r="AH108" s="282"/>
      <c r="AI108" s="282"/>
      <c r="AJ108" s="283"/>
      <c r="AK108" s="282"/>
      <c r="AL108" s="282"/>
      <c r="AM108" s="282"/>
      <c r="AN108" s="282"/>
      <c r="AO108" s="282"/>
      <c r="AP108" s="282"/>
      <c r="AQ108" s="283"/>
      <c r="AR108" s="282"/>
      <c r="AS108" s="282"/>
      <c r="AT108" s="282"/>
      <c r="AU108" s="282"/>
      <c r="AV108" s="282"/>
      <c r="AW108" s="282"/>
      <c r="AX108" s="283"/>
      <c r="AY108" s="282"/>
      <c r="AZ108" s="282"/>
      <c r="BA108" s="282"/>
      <c r="BB108" s="282"/>
      <c r="BC108" s="282"/>
      <c r="BD108" s="282"/>
      <c r="BE108" s="283"/>
      <c r="BF108" s="282"/>
      <c r="BG108" s="282"/>
      <c r="BH108" s="282"/>
      <c r="BI108" s="282"/>
      <c r="BJ108" s="282"/>
      <c r="BK108" s="282"/>
      <c r="BL108" s="283"/>
      <c r="BM108" s="282"/>
      <c r="BN108" s="282"/>
      <c r="BO108" s="282"/>
      <c r="BP108" s="282"/>
      <c r="BQ108" s="282"/>
      <c r="BR108" s="282"/>
      <c r="BS108" s="283"/>
      <c r="BT108" s="282"/>
      <c r="BU108" s="282"/>
      <c r="BV108" s="282"/>
      <c r="BW108" s="282"/>
      <c r="BX108" s="282"/>
      <c r="BY108" s="282"/>
      <c r="BZ108" s="283"/>
      <c r="CA108" s="282"/>
      <c r="CB108" s="282"/>
      <c r="CC108" s="282"/>
      <c r="CD108" s="282"/>
      <c r="CE108" s="282"/>
      <c r="CF108" s="282"/>
      <c r="CG108" s="283"/>
      <c r="CH108" s="282"/>
      <c r="CI108" s="282"/>
      <c r="CJ108" s="282"/>
      <c r="CK108" s="282"/>
      <c r="CL108" s="282"/>
      <c r="CM108" s="282"/>
      <c r="CN108" s="283"/>
      <c r="CO108" s="282"/>
      <c r="CP108" s="282"/>
      <c r="CQ108" s="282"/>
      <c r="CR108" s="282"/>
      <c r="CS108" s="282"/>
      <c r="CT108" s="282"/>
      <c r="CU108" s="283"/>
      <c r="CV108" s="282"/>
      <c r="CW108" s="282"/>
      <c r="CX108" s="282"/>
      <c r="CY108" s="282"/>
      <c r="CZ108" s="282"/>
      <c r="DA108" s="282"/>
      <c r="DB108" s="283"/>
      <c r="DC108" s="282"/>
      <c r="DD108" s="282"/>
      <c r="DE108" s="282"/>
      <c r="DF108" s="282"/>
      <c r="DG108" s="282"/>
      <c r="DH108" s="282"/>
      <c r="DI108" s="283"/>
      <c r="DJ108" s="282"/>
      <c r="DK108" s="282"/>
      <c r="DL108" s="282"/>
      <c r="DM108" s="282"/>
      <c r="DN108" s="282"/>
      <c r="DO108" s="282"/>
      <c r="DP108" s="283"/>
      <c r="DQ108" s="282"/>
      <c r="DR108" s="282"/>
      <c r="DS108" s="282"/>
      <c r="DT108" s="282"/>
      <c r="DU108" s="282"/>
      <c r="DV108" s="282"/>
      <c r="DW108" s="283"/>
      <c r="DX108" s="282"/>
      <c r="DY108" s="282"/>
      <c r="DZ108" s="282"/>
      <c r="EA108" s="282"/>
      <c r="EB108" s="282"/>
      <c r="EC108" s="282"/>
      <c r="ED108" s="283"/>
      <c r="EE108" s="282"/>
      <c r="EF108" s="282"/>
      <c r="EG108" s="282"/>
      <c r="EH108" s="282"/>
      <c r="EI108" s="282"/>
      <c r="EJ108" s="282"/>
      <c r="EK108" s="283"/>
      <c r="EL108" s="282"/>
      <c r="EM108" s="282"/>
      <c r="EN108" s="282"/>
      <c r="EO108" s="282"/>
      <c r="EP108" s="282"/>
      <c r="EQ108" s="282"/>
      <c r="ER108" s="283"/>
      <c r="ES108" s="282"/>
      <c r="ET108" s="282"/>
      <c r="EU108" s="282"/>
      <c r="EV108" s="282"/>
      <c r="EW108" s="282"/>
      <c r="EX108" s="282"/>
      <c r="EY108" s="283"/>
      <c r="EZ108" s="282"/>
      <c r="FA108" s="282"/>
      <c r="FB108" s="282"/>
      <c r="FC108" s="282"/>
      <c r="FD108" s="282"/>
      <c r="FE108" s="282"/>
      <c r="FF108" s="283"/>
      <c r="FG108" s="282"/>
      <c r="FH108" s="282"/>
      <c r="FI108" s="282"/>
      <c r="FJ108" s="282"/>
      <c r="FK108" s="282"/>
      <c r="FL108" s="282"/>
      <c r="FM108" s="283"/>
      <c r="FN108" s="282"/>
      <c r="FO108" s="282"/>
      <c r="FP108" s="282"/>
      <c r="FQ108" s="282"/>
      <c r="FR108" s="282"/>
      <c r="FS108" s="282"/>
      <c r="FT108" s="283"/>
      <c r="FU108" s="282"/>
      <c r="FV108" s="282"/>
      <c r="FW108" s="282"/>
      <c r="FX108" s="282"/>
      <c r="FY108" s="282"/>
      <c r="FZ108" s="282"/>
      <c r="GA108" s="283"/>
    </row>
    <row r="109" spans="1:183" ht="12.75">
      <c r="A109" s="284" t="s">
        <v>269</v>
      </c>
      <c r="B109" s="270"/>
      <c r="C109" s="270"/>
      <c r="D109" s="270"/>
      <c r="E109" s="270"/>
      <c r="F109" s="270"/>
      <c r="G109" s="270"/>
      <c r="H109" s="271"/>
      <c r="I109" s="270"/>
      <c r="J109" s="270"/>
      <c r="K109" s="270"/>
      <c r="L109" s="270"/>
      <c r="M109" s="270"/>
      <c r="N109" s="270"/>
      <c r="O109" s="271"/>
      <c r="P109" s="270"/>
      <c r="Q109" s="270"/>
      <c r="R109" s="270"/>
      <c r="S109" s="270"/>
      <c r="T109" s="270"/>
      <c r="U109" s="270"/>
      <c r="V109" s="271"/>
      <c r="W109" s="270"/>
      <c r="X109" s="270"/>
      <c r="Y109" s="270"/>
      <c r="Z109" s="270"/>
      <c r="AA109" s="270"/>
      <c r="AB109" s="270"/>
      <c r="AC109" s="271"/>
      <c r="AD109" s="270"/>
      <c r="AE109" s="270"/>
      <c r="AF109" s="270"/>
      <c r="AG109" s="270"/>
      <c r="AH109" s="270"/>
      <c r="AI109" s="270"/>
      <c r="AJ109" s="271"/>
      <c r="AK109" s="270"/>
      <c r="AL109" s="270"/>
      <c r="AM109" s="270"/>
      <c r="AN109" s="270"/>
      <c r="AO109" s="270"/>
      <c r="AP109" s="270"/>
      <c r="AQ109" s="271"/>
      <c r="AR109" s="270"/>
      <c r="AS109" s="270"/>
      <c r="AT109" s="270"/>
      <c r="AU109" s="270"/>
      <c r="AV109" s="270"/>
      <c r="AW109" s="270"/>
      <c r="AX109" s="271"/>
      <c r="AY109" s="270"/>
      <c r="AZ109" s="270"/>
      <c r="BA109" s="270"/>
      <c r="BB109" s="270"/>
      <c r="BC109" s="270"/>
      <c r="BD109" s="270"/>
      <c r="BE109" s="271"/>
      <c r="BF109" s="270"/>
      <c r="BG109" s="270"/>
      <c r="BH109" s="270"/>
      <c r="BI109" s="270"/>
      <c r="BJ109" s="270"/>
      <c r="BK109" s="270"/>
      <c r="BL109" s="271"/>
      <c r="BM109" s="270"/>
      <c r="BN109" s="270"/>
      <c r="BO109" s="270"/>
      <c r="BP109" s="270"/>
      <c r="BQ109" s="270"/>
      <c r="BR109" s="270"/>
      <c r="BS109" s="271"/>
      <c r="BT109" s="270"/>
      <c r="BU109" s="270"/>
      <c r="BV109" s="270"/>
      <c r="BW109" s="270"/>
      <c r="BX109" s="270"/>
      <c r="BY109" s="270"/>
      <c r="BZ109" s="271"/>
      <c r="CA109" s="270"/>
      <c r="CB109" s="270"/>
      <c r="CC109" s="270"/>
      <c r="CD109" s="270"/>
      <c r="CE109" s="270"/>
      <c r="CF109" s="270"/>
      <c r="CG109" s="271"/>
      <c r="CH109" s="270"/>
      <c r="CI109" s="270"/>
      <c r="CJ109" s="270"/>
      <c r="CK109" s="270"/>
      <c r="CL109" s="270"/>
      <c r="CM109" s="270"/>
      <c r="CN109" s="271"/>
      <c r="CO109" s="270"/>
      <c r="CP109" s="270"/>
      <c r="CQ109" s="270"/>
      <c r="CR109" s="270"/>
      <c r="CS109" s="270"/>
      <c r="CT109" s="270"/>
      <c r="CU109" s="271"/>
      <c r="CV109" s="270"/>
      <c r="CW109" s="270"/>
      <c r="CX109" s="270"/>
      <c r="CY109" s="270"/>
      <c r="CZ109" s="270"/>
      <c r="DA109" s="270"/>
      <c r="DB109" s="271"/>
      <c r="DC109" s="270"/>
      <c r="DD109" s="270"/>
      <c r="DE109" s="270"/>
      <c r="DF109" s="270"/>
      <c r="DG109" s="270"/>
      <c r="DH109" s="270"/>
      <c r="DI109" s="271"/>
      <c r="DJ109" s="270"/>
      <c r="DK109" s="270"/>
      <c r="DL109" s="270"/>
      <c r="DM109" s="270"/>
      <c r="DN109" s="270"/>
      <c r="DO109" s="270"/>
      <c r="DP109" s="271"/>
      <c r="DQ109" s="270"/>
      <c r="DR109" s="270"/>
      <c r="DS109" s="270"/>
      <c r="DT109" s="270"/>
      <c r="DU109" s="270"/>
      <c r="DV109" s="270"/>
      <c r="DW109" s="271"/>
      <c r="DX109" s="270"/>
      <c r="DY109" s="270"/>
      <c r="DZ109" s="270"/>
      <c r="EA109" s="270"/>
      <c r="EB109" s="270"/>
      <c r="EC109" s="270"/>
      <c r="ED109" s="271"/>
      <c r="EE109" s="270"/>
      <c r="EF109" s="270"/>
      <c r="EG109" s="270"/>
      <c r="EH109" s="270"/>
      <c r="EI109" s="270"/>
      <c r="EJ109" s="270"/>
      <c r="EK109" s="271"/>
      <c r="EL109" s="270"/>
      <c r="EM109" s="270"/>
      <c r="EN109" s="270"/>
      <c r="EO109" s="270"/>
      <c r="EP109" s="270"/>
      <c r="EQ109" s="270"/>
      <c r="ER109" s="271"/>
      <c r="ES109" s="270"/>
      <c r="ET109" s="270"/>
      <c r="EU109" s="270"/>
      <c r="EV109" s="270"/>
      <c r="EW109" s="270"/>
      <c r="EX109" s="270"/>
      <c r="EY109" s="271"/>
      <c r="EZ109" s="270"/>
      <c r="FA109" s="270"/>
      <c r="FB109" s="270"/>
      <c r="FC109" s="270"/>
      <c r="FD109" s="270"/>
      <c r="FE109" s="270"/>
      <c r="FF109" s="271"/>
      <c r="FG109" s="270"/>
      <c r="FH109" s="270"/>
      <c r="FI109" s="270"/>
      <c r="FJ109" s="270"/>
      <c r="FK109" s="270"/>
      <c r="FL109" s="270"/>
      <c r="FM109" s="271"/>
      <c r="FN109" s="270"/>
      <c r="FO109" s="270"/>
      <c r="FP109" s="270"/>
      <c r="FQ109" s="270"/>
      <c r="FR109" s="270"/>
      <c r="FS109" s="270"/>
      <c r="FT109" s="271"/>
      <c r="FU109" s="270"/>
      <c r="FV109" s="270"/>
      <c r="FW109" s="270"/>
      <c r="FX109" s="270"/>
      <c r="FY109" s="270"/>
      <c r="FZ109" s="270"/>
      <c r="GA109" s="271"/>
    </row>
    <row r="110" spans="1:183" ht="12.75">
      <c r="A110" s="284" t="s">
        <v>270</v>
      </c>
      <c r="B110" s="270"/>
      <c r="C110" s="270"/>
      <c r="D110" s="270"/>
      <c r="E110" s="270"/>
      <c r="F110" s="270"/>
      <c r="G110" s="270"/>
      <c r="H110" s="271"/>
      <c r="I110" s="270"/>
      <c r="J110" s="270"/>
      <c r="K110" s="270"/>
      <c r="L110" s="270"/>
      <c r="M110" s="270"/>
      <c r="N110" s="270"/>
      <c r="O110" s="271"/>
      <c r="P110" s="270"/>
      <c r="Q110" s="270"/>
      <c r="R110" s="270"/>
      <c r="S110" s="270"/>
      <c r="T110" s="270"/>
      <c r="U110" s="270"/>
      <c r="V110" s="271"/>
      <c r="W110" s="270"/>
      <c r="X110" s="270"/>
      <c r="Y110" s="270"/>
      <c r="Z110" s="270"/>
      <c r="AA110" s="270"/>
      <c r="AB110" s="270"/>
      <c r="AC110" s="271"/>
      <c r="AD110" s="270"/>
      <c r="AE110" s="270"/>
      <c r="AF110" s="270"/>
      <c r="AG110" s="270"/>
      <c r="AH110" s="270"/>
      <c r="AI110" s="270"/>
      <c r="AJ110" s="271"/>
      <c r="AK110" s="270"/>
      <c r="AL110" s="270"/>
      <c r="AM110" s="270"/>
      <c r="AN110" s="270"/>
      <c r="AO110" s="270"/>
      <c r="AP110" s="270"/>
      <c r="AQ110" s="271"/>
      <c r="AR110" s="270"/>
      <c r="AS110" s="270"/>
      <c r="AT110" s="270"/>
      <c r="AU110" s="270"/>
      <c r="AV110" s="270"/>
      <c r="AW110" s="270"/>
      <c r="AX110" s="271"/>
      <c r="AY110" s="270"/>
      <c r="AZ110" s="270"/>
      <c r="BA110" s="270"/>
      <c r="BB110" s="270"/>
      <c r="BC110" s="270"/>
      <c r="BD110" s="270"/>
      <c r="BE110" s="271"/>
      <c r="BF110" s="270"/>
      <c r="BG110" s="270"/>
      <c r="BH110" s="270"/>
      <c r="BI110" s="270"/>
      <c r="BJ110" s="270"/>
      <c r="BK110" s="270"/>
      <c r="BL110" s="271"/>
      <c r="BM110" s="270"/>
      <c r="BN110" s="270"/>
      <c r="BO110" s="270"/>
      <c r="BP110" s="270"/>
      <c r="BQ110" s="270"/>
      <c r="BR110" s="270"/>
      <c r="BS110" s="271"/>
      <c r="BT110" s="270"/>
      <c r="BU110" s="270"/>
      <c r="BV110" s="270"/>
      <c r="BW110" s="270"/>
      <c r="BX110" s="270"/>
      <c r="BY110" s="270"/>
      <c r="BZ110" s="271"/>
      <c r="CA110" s="270"/>
      <c r="CB110" s="270"/>
      <c r="CC110" s="270"/>
      <c r="CD110" s="270"/>
      <c r="CE110" s="270"/>
      <c r="CF110" s="270"/>
      <c r="CG110" s="271"/>
      <c r="CH110" s="270"/>
      <c r="CI110" s="270"/>
      <c r="CJ110" s="270"/>
      <c r="CK110" s="270"/>
      <c r="CL110" s="270"/>
      <c r="CM110" s="270"/>
      <c r="CN110" s="271"/>
      <c r="CO110" s="270"/>
      <c r="CP110" s="270"/>
      <c r="CQ110" s="270"/>
      <c r="CR110" s="270"/>
      <c r="CS110" s="270"/>
      <c r="CT110" s="270"/>
      <c r="CU110" s="271"/>
      <c r="CV110" s="270"/>
      <c r="CW110" s="270"/>
      <c r="CX110" s="270"/>
      <c r="CY110" s="270"/>
      <c r="CZ110" s="270"/>
      <c r="DA110" s="270"/>
      <c r="DB110" s="271"/>
      <c r="DC110" s="270"/>
      <c r="DD110" s="270"/>
      <c r="DE110" s="270"/>
      <c r="DF110" s="270"/>
      <c r="DG110" s="270"/>
      <c r="DH110" s="270"/>
      <c r="DI110" s="271"/>
      <c r="DJ110" s="270"/>
      <c r="DK110" s="270"/>
      <c r="DL110" s="270"/>
      <c r="DM110" s="270"/>
      <c r="DN110" s="270"/>
      <c r="DO110" s="270"/>
      <c r="DP110" s="271"/>
      <c r="DQ110" s="270"/>
      <c r="DR110" s="270"/>
      <c r="DS110" s="270"/>
      <c r="DT110" s="270"/>
      <c r="DU110" s="270"/>
      <c r="DV110" s="270"/>
      <c r="DW110" s="271"/>
      <c r="DX110" s="270"/>
      <c r="DY110" s="270"/>
      <c r="DZ110" s="270"/>
      <c r="EA110" s="270"/>
      <c r="EB110" s="270"/>
      <c r="EC110" s="270"/>
      <c r="ED110" s="271"/>
      <c r="EE110" s="270"/>
      <c r="EF110" s="270"/>
      <c r="EG110" s="270"/>
      <c r="EH110" s="270"/>
      <c r="EI110" s="270"/>
      <c r="EJ110" s="270"/>
      <c r="EK110" s="271"/>
      <c r="EL110" s="270"/>
      <c r="EM110" s="270"/>
      <c r="EN110" s="270"/>
      <c r="EO110" s="270"/>
      <c r="EP110" s="270"/>
      <c r="EQ110" s="270"/>
      <c r="ER110" s="271"/>
      <c r="ES110" s="270"/>
      <c r="ET110" s="270"/>
      <c r="EU110" s="270"/>
      <c r="EV110" s="270"/>
      <c r="EW110" s="270"/>
      <c r="EX110" s="270"/>
      <c r="EY110" s="271"/>
      <c r="EZ110" s="270"/>
      <c r="FA110" s="270"/>
      <c r="FB110" s="270"/>
      <c r="FC110" s="270"/>
      <c r="FD110" s="270"/>
      <c r="FE110" s="270"/>
      <c r="FF110" s="271"/>
      <c r="FG110" s="270"/>
      <c r="FH110" s="270"/>
      <c r="FI110" s="270"/>
      <c r="FJ110" s="270"/>
      <c r="FK110" s="270"/>
      <c r="FL110" s="270"/>
      <c r="FM110" s="271"/>
      <c r="FN110" s="270"/>
      <c r="FO110" s="270"/>
      <c r="FP110" s="270"/>
      <c r="FQ110" s="270"/>
      <c r="FR110" s="270"/>
      <c r="FS110" s="270"/>
      <c r="FT110" s="271"/>
      <c r="FU110" s="270"/>
      <c r="FV110" s="270"/>
      <c r="FW110" s="270"/>
      <c r="FX110" s="270"/>
      <c r="FY110" s="270"/>
      <c r="FZ110" s="270"/>
      <c r="GA110" s="271"/>
    </row>
    <row r="111" spans="1:183" ht="12.75">
      <c r="A111" s="263" t="s">
        <v>271</v>
      </c>
      <c r="B111" s="264"/>
      <c r="C111" s="264"/>
      <c r="D111" s="264"/>
      <c r="E111" s="264"/>
      <c r="F111" s="264"/>
      <c r="G111" s="264"/>
      <c r="H111" s="265"/>
      <c r="I111" s="264"/>
      <c r="J111" s="264"/>
      <c r="K111" s="264"/>
      <c r="L111" s="264"/>
      <c r="M111" s="264"/>
      <c r="N111" s="264"/>
      <c r="O111" s="265"/>
      <c r="P111" s="264"/>
      <c r="Q111" s="264"/>
      <c r="R111" s="264"/>
      <c r="S111" s="264"/>
      <c r="T111" s="264"/>
      <c r="U111" s="264"/>
      <c r="V111" s="265"/>
      <c r="W111" s="264"/>
      <c r="X111" s="264"/>
      <c r="Y111" s="264"/>
      <c r="Z111" s="264"/>
      <c r="AA111" s="264"/>
      <c r="AB111" s="264"/>
      <c r="AC111" s="265"/>
      <c r="AD111" s="264"/>
      <c r="AE111" s="264"/>
      <c r="AF111" s="264"/>
      <c r="AG111" s="264"/>
      <c r="AH111" s="264"/>
      <c r="AI111" s="264"/>
      <c r="AJ111" s="265"/>
      <c r="AK111" s="264"/>
      <c r="AL111" s="264"/>
      <c r="AM111" s="264"/>
      <c r="AN111" s="264"/>
      <c r="AO111" s="264"/>
      <c r="AP111" s="264"/>
      <c r="AQ111" s="265"/>
      <c r="AR111" s="264"/>
      <c r="AS111" s="264"/>
      <c r="AT111" s="264"/>
      <c r="AU111" s="264"/>
      <c r="AV111" s="264"/>
      <c r="AW111" s="264"/>
      <c r="AX111" s="265"/>
      <c r="AY111" s="264"/>
      <c r="AZ111" s="264"/>
      <c r="BA111" s="264"/>
      <c r="BB111" s="264"/>
      <c r="BC111" s="264"/>
      <c r="BD111" s="264"/>
      <c r="BE111" s="265"/>
      <c r="BF111" s="264"/>
      <c r="BG111" s="264"/>
      <c r="BH111" s="264"/>
      <c r="BI111" s="264"/>
      <c r="BJ111" s="264"/>
      <c r="BK111" s="264"/>
      <c r="BL111" s="265"/>
      <c r="BM111" s="264"/>
      <c r="BN111" s="264"/>
      <c r="BO111" s="264"/>
      <c r="BP111" s="264"/>
      <c r="BQ111" s="264"/>
      <c r="BR111" s="264"/>
      <c r="BS111" s="265"/>
      <c r="BT111" s="264"/>
      <c r="BU111" s="264"/>
      <c r="BV111" s="264"/>
      <c r="BW111" s="264"/>
      <c r="BX111" s="264"/>
      <c r="BY111" s="264"/>
      <c r="BZ111" s="265"/>
      <c r="CA111" s="264"/>
      <c r="CB111" s="264"/>
      <c r="CC111" s="264"/>
      <c r="CD111" s="264"/>
      <c r="CE111" s="264"/>
      <c r="CF111" s="264"/>
      <c r="CG111" s="265"/>
      <c r="CH111" s="264"/>
      <c r="CI111" s="264"/>
      <c r="CJ111" s="264"/>
      <c r="CK111" s="264"/>
      <c r="CL111" s="264"/>
      <c r="CM111" s="264"/>
      <c r="CN111" s="265"/>
      <c r="CO111" s="264"/>
      <c r="CP111" s="264"/>
      <c r="CQ111" s="264"/>
      <c r="CR111" s="264"/>
      <c r="CS111" s="264"/>
      <c r="CT111" s="264"/>
      <c r="CU111" s="265"/>
      <c r="CV111" s="264"/>
      <c r="CW111" s="264"/>
      <c r="CX111" s="264"/>
      <c r="CY111" s="264"/>
      <c r="CZ111" s="264"/>
      <c r="DA111" s="264"/>
      <c r="DB111" s="265"/>
      <c r="DC111" s="264"/>
      <c r="DD111" s="264"/>
      <c r="DE111" s="264"/>
      <c r="DF111" s="264"/>
      <c r="DG111" s="264"/>
      <c r="DH111" s="264"/>
      <c r="DI111" s="265"/>
      <c r="DJ111" s="264"/>
      <c r="DK111" s="264"/>
      <c r="DL111" s="264"/>
      <c r="DM111" s="264"/>
      <c r="DN111" s="264"/>
      <c r="DO111" s="264"/>
      <c r="DP111" s="265"/>
      <c r="DQ111" s="264"/>
      <c r="DR111" s="264"/>
      <c r="DS111" s="264"/>
      <c r="DT111" s="264"/>
      <c r="DU111" s="264"/>
      <c r="DV111" s="264"/>
      <c r="DW111" s="265"/>
      <c r="DX111" s="264"/>
      <c r="DY111" s="264"/>
      <c r="DZ111" s="264"/>
      <c r="EA111" s="264"/>
      <c r="EB111" s="264"/>
      <c r="EC111" s="264"/>
      <c r="ED111" s="265"/>
      <c r="EE111" s="264"/>
      <c r="EF111" s="264"/>
      <c r="EG111" s="264"/>
      <c r="EH111" s="264"/>
      <c r="EI111" s="264"/>
      <c r="EJ111" s="264"/>
      <c r="EK111" s="265"/>
      <c r="EL111" s="264"/>
      <c r="EM111" s="264"/>
      <c r="EN111" s="264"/>
      <c r="EO111" s="264"/>
      <c r="EP111" s="264"/>
      <c r="EQ111" s="264"/>
      <c r="ER111" s="265"/>
      <c r="ES111" s="264"/>
      <c r="ET111" s="264"/>
      <c r="EU111" s="264"/>
      <c r="EV111" s="264"/>
      <c r="EW111" s="264"/>
      <c r="EX111" s="264"/>
      <c r="EY111" s="265"/>
      <c r="EZ111" s="264"/>
      <c r="FA111" s="264"/>
      <c r="FB111" s="264"/>
      <c r="FC111" s="264"/>
      <c r="FD111" s="264"/>
      <c r="FE111" s="264"/>
      <c r="FF111" s="265"/>
      <c r="FG111" s="264"/>
      <c r="FH111" s="264"/>
      <c r="FI111" s="264"/>
      <c r="FJ111" s="264"/>
      <c r="FK111" s="264"/>
      <c r="FL111" s="264"/>
      <c r="FM111" s="265"/>
      <c r="FN111" s="264"/>
      <c r="FO111" s="264"/>
      <c r="FP111" s="264"/>
      <c r="FQ111" s="264"/>
      <c r="FR111" s="264"/>
      <c r="FS111" s="264"/>
      <c r="FT111" s="265"/>
      <c r="FU111" s="264"/>
      <c r="FV111" s="264"/>
      <c r="FW111" s="264"/>
      <c r="FX111" s="264"/>
      <c r="FY111" s="264"/>
      <c r="FZ111" s="264"/>
      <c r="GA111" s="265"/>
    </row>
    <row r="112" spans="1:183" ht="12.75">
      <c r="A112" s="285" t="s">
        <v>272</v>
      </c>
      <c r="B112" s="286"/>
      <c r="C112" s="287"/>
      <c r="D112" s="286"/>
      <c r="E112" s="286"/>
      <c r="F112" s="286"/>
      <c r="G112" s="287"/>
      <c r="H112" s="288"/>
      <c r="I112" s="286"/>
      <c r="J112" s="286"/>
      <c r="K112" s="286"/>
      <c r="L112" s="287"/>
      <c r="M112" s="286"/>
      <c r="N112" s="287"/>
      <c r="O112" s="288"/>
      <c r="P112" s="286"/>
      <c r="Q112" s="286"/>
      <c r="R112" s="286"/>
      <c r="S112" s="287"/>
      <c r="T112" s="286"/>
      <c r="U112" s="287"/>
      <c r="V112" s="288"/>
      <c r="W112" s="286"/>
      <c r="X112" s="287"/>
      <c r="Y112" s="286"/>
      <c r="Z112" s="287"/>
      <c r="AA112" s="286"/>
      <c r="AB112" s="287"/>
      <c r="AC112" s="288"/>
      <c r="AD112" s="286"/>
      <c r="AE112" s="287"/>
      <c r="AF112" s="286"/>
      <c r="AG112" s="287"/>
      <c r="AH112" s="286"/>
      <c r="AI112" s="287"/>
      <c r="AJ112" s="288"/>
      <c r="AK112" s="286"/>
      <c r="AL112" s="287"/>
      <c r="AM112" s="286"/>
      <c r="AN112" s="287"/>
      <c r="AO112" s="286"/>
      <c r="AP112" s="287"/>
      <c r="AQ112" s="288"/>
      <c r="AR112" s="286"/>
      <c r="AS112" s="287"/>
      <c r="AT112" s="286"/>
      <c r="AU112" s="287"/>
      <c r="AV112" s="286"/>
      <c r="AW112" s="287"/>
      <c r="AX112" s="288"/>
      <c r="AY112" s="286"/>
      <c r="AZ112" s="287"/>
      <c r="BA112" s="286"/>
      <c r="BB112" s="287"/>
      <c r="BC112" s="286"/>
      <c r="BD112" s="287"/>
      <c r="BE112" s="288"/>
      <c r="BF112" s="286"/>
      <c r="BG112" s="287"/>
      <c r="BH112" s="286"/>
      <c r="BI112" s="287"/>
      <c r="BJ112" s="286"/>
      <c r="BK112" s="287"/>
      <c r="BL112" s="288"/>
      <c r="BM112" s="286"/>
      <c r="BN112" s="287"/>
      <c r="BO112" s="286"/>
      <c r="BP112" s="287"/>
      <c r="BQ112" s="286"/>
      <c r="BR112" s="287"/>
      <c r="BS112" s="288"/>
      <c r="BT112" s="286"/>
      <c r="BU112" s="287"/>
      <c r="BV112" s="286"/>
      <c r="BW112" s="287"/>
      <c r="BX112" s="286"/>
      <c r="BY112" s="287"/>
      <c r="BZ112" s="288"/>
      <c r="CA112" s="286"/>
      <c r="CB112" s="287"/>
      <c r="CC112" s="286"/>
      <c r="CD112" s="287"/>
      <c r="CE112" s="286"/>
      <c r="CF112" s="287"/>
      <c r="CG112" s="288"/>
      <c r="CH112" s="286"/>
      <c r="CI112" s="287"/>
      <c r="CJ112" s="286"/>
      <c r="CK112" s="287"/>
      <c r="CL112" s="286"/>
      <c r="CM112" s="287"/>
      <c r="CN112" s="288"/>
      <c r="CO112" s="286"/>
      <c r="CP112" s="287"/>
      <c r="CQ112" s="286"/>
      <c r="CR112" s="287"/>
      <c r="CS112" s="286"/>
      <c r="CT112" s="287"/>
      <c r="CU112" s="288"/>
      <c r="CV112" s="286"/>
      <c r="CW112" s="287"/>
      <c r="CX112" s="286"/>
      <c r="CY112" s="287"/>
      <c r="CZ112" s="286"/>
      <c r="DA112" s="287"/>
      <c r="DB112" s="288"/>
      <c r="DC112" s="286"/>
      <c r="DD112" s="287"/>
      <c r="DE112" s="286"/>
      <c r="DF112" s="287"/>
      <c r="DG112" s="286"/>
      <c r="DH112" s="287"/>
      <c r="DI112" s="288"/>
      <c r="DJ112" s="286"/>
      <c r="DK112" s="287"/>
      <c r="DL112" s="286"/>
      <c r="DM112" s="287"/>
      <c r="DN112" s="286"/>
      <c r="DO112" s="287"/>
      <c r="DP112" s="288"/>
      <c r="DQ112" s="286"/>
      <c r="DR112" s="287"/>
      <c r="DS112" s="286"/>
      <c r="DT112" s="287"/>
      <c r="DU112" s="286"/>
      <c r="DV112" s="287"/>
      <c r="DW112" s="288"/>
      <c r="DX112" s="286"/>
      <c r="DY112" s="287"/>
      <c r="DZ112" s="286"/>
      <c r="EA112" s="287"/>
      <c r="EB112" s="286"/>
      <c r="EC112" s="287"/>
      <c r="ED112" s="288"/>
      <c r="EE112" s="286"/>
      <c r="EF112" s="287"/>
      <c r="EG112" s="286"/>
      <c r="EH112" s="287"/>
      <c r="EI112" s="286"/>
      <c r="EJ112" s="287"/>
      <c r="EK112" s="288"/>
      <c r="EL112" s="286"/>
      <c r="EM112" s="287"/>
      <c r="EN112" s="286"/>
      <c r="EO112" s="287"/>
      <c r="EP112" s="286"/>
      <c r="EQ112" s="287"/>
      <c r="ER112" s="288"/>
      <c r="ES112" s="286"/>
      <c r="ET112" s="287"/>
      <c r="EU112" s="286"/>
      <c r="EV112" s="287"/>
      <c r="EW112" s="286"/>
      <c r="EX112" s="287"/>
      <c r="EY112" s="288"/>
      <c r="EZ112" s="286"/>
      <c r="FA112" s="287"/>
      <c r="FB112" s="286"/>
      <c r="FC112" s="287"/>
      <c r="FD112" s="286"/>
      <c r="FE112" s="287"/>
      <c r="FF112" s="288"/>
      <c r="FG112" s="286"/>
      <c r="FH112" s="287"/>
      <c r="FI112" s="286"/>
      <c r="FJ112" s="287"/>
      <c r="FK112" s="286"/>
      <c r="FL112" s="287"/>
      <c r="FM112" s="288"/>
      <c r="FN112" s="286"/>
      <c r="FO112" s="287"/>
      <c r="FP112" s="286"/>
      <c r="FQ112" s="287"/>
      <c r="FR112" s="286"/>
      <c r="FS112" s="287"/>
      <c r="FT112" s="288"/>
      <c r="FU112" s="286"/>
      <c r="FV112" s="287"/>
      <c r="FW112" s="286"/>
      <c r="FX112" s="287"/>
      <c r="FY112" s="286"/>
      <c r="FZ112" s="287"/>
      <c r="GA112" s="288"/>
    </row>
    <row r="113" spans="1:183" ht="13.5" thickBot="1">
      <c r="A113" s="289" t="s">
        <v>273</v>
      </c>
      <c r="B113" s="290"/>
      <c r="C113" s="290"/>
      <c r="D113" s="290"/>
      <c r="E113" s="290"/>
      <c r="F113" s="290"/>
      <c r="G113" s="291"/>
      <c r="H113" s="292"/>
      <c r="I113" s="290"/>
      <c r="J113" s="291"/>
      <c r="K113" s="290"/>
      <c r="L113" s="291"/>
      <c r="M113" s="290"/>
      <c r="N113" s="291"/>
      <c r="O113" s="292"/>
      <c r="P113" s="290"/>
      <c r="Q113" s="291"/>
      <c r="R113" s="290"/>
      <c r="S113" s="291"/>
      <c r="T113" s="290"/>
      <c r="U113" s="290"/>
      <c r="V113" s="290"/>
      <c r="W113" s="290"/>
      <c r="X113" s="290"/>
      <c r="Y113" s="290"/>
      <c r="Z113" s="290"/>
      <c r="AA113" s="290"/>
      <c r="AB113" s="291"/>
      <c r="AC113" s="317"/>
      <c r="AD113" s="290"/>
      <c r="AE113" s="291"/>
      <c r="AF113" s="290"/>
      <c r="AG113" s="291"/>
      <c r="AH113" s="290"/>
      <c r="AI113" s="291"/>
      <c r="AJ113" s="292"/>
      <c r="AK113" s="290"/>
      <c r="AL113" s="291"/>
      <c r="AM113" s="290"/>
      <c r="AN113" s="291"/>
      <c r="AO113" s="290"/>
      <c r="AP113" s="291"/>
      <c r="AQ113" s="292"/>
      <c r="AR113" s="290"/>
      <c r="AS113" s="291"/>
      <c r="AT113" s="290"/>
      <c r="AU113" s="291"/>
      <c r="AV113" s="290"/>
      <c r="AW113" s="291"/>
      <c r="AX113" s="292"/>
      <c r="AY113" s="290"/>
      <c r="AZ113" s="291"/>
      <c r="BA113" s="290"/>
      <c r="BB113" s="291"/>
      <c r="BC113" s="290"/>
      <c r="BD113" s="291"/>
      <c r="BE113" s="292"/>
      <c r="BF113" s="290"/>
      <c r="BG113" s="291"/>
      <c r="BH113" s="290"/>
      <c r="BI113" s="291"/>
      <c r="BJ113" s="290"/>
      <c r="BK113" s="291"/>
      <c r="BL113" s="292"/>
      <c r="BM113" s="290"/>
      <c r="BN113" s="291"/>
      <c r="BO113" s="290"/>
      <c r="BP113" s="291"/>
      <c r="BQ113" s="290"/>
      <c r="BR113" s="291"/>
      <c r="BS113" s="292"/>
      <c r="BT113" s="290"/>
      <c r="BU113" s="291"/>
      <c r="BV113" s="290"/>
      <c r="BW113" s="291"/>
      <c r="BX113" s="290"/>
      <c r="BY113" s="291"/>
      <c r="BZ113" s="292"/>
      <c r="CA113" s="290"/>
      <c r="CB113" s="291"/>
      <c r="CC113" s="290"/>
      <c r="CD113" s="291"/>
      <c r="CE113" s="290"/>
      <c r="CF113" s="291"/>
      <c r="CG113" s="292"/>
      <c r="CH113" s="290"/>
      <c r="CI113" s="291"/>
      <c r="CJ113" s="290"/>
      <c r="CK113" s="291"/>
      <c r="CL113" s="290"/>
      <c r="CM113" s="291"/>
      <c r="CN113" s="292"/>
      <c r="CO113" s="290"/>
      <c r="CP113" s="291"/>
      <c r="CQ113" s="290"/>
      <c r="CR113" s="291"/>
      <c r="CS113" s="290"/>
      <c r="CT113" s="291"/>
      <c r="CU113" s="292"/>
      <c r="CV113" s="290"/>
      <c r="CW113" s="291"/>
      <c r="CX113" s="290"/>
      <c r="CY113" s="291"/>
      <c r="CZ113" s="290"/>
      <c r="DA113" s="291"/>
      <c r="DB113" s="292"/>
      <c r="DC113" s="290"/>
      <c r="DD113" s="291"/>
      <c r="DE113" s="290"/>
      <c r="DF113" s="291"/>
      <c r="DG113" s="290"/>
      <c r="DH113" s="291"/>
      <c r="DI113" s="292"/>
      <c r="DJ113" s="290"/>
      <c r="DK113" s="291"/>
      <c r="DL113" s="290"/>
      <c r="DM113" s="291"/>
      <c r="DN113" s="290"/>
      <c r="DO113" s="291"/>
      <c r="DP113" s="292"/>
      <c r="DQ113" s="290"/>
      <c r="DR113" s="291"/>
      <c r="DS113" s="290"/>
      <c r="DT113" s="291"/>
      <c r="DU113" s="290"/>
      <c r="DV113" s="291"/>
      <c r="DW113" s="292"/>
      <c r="DX113" s="290"/>
      <c r="DY113" s="291"/>
      <c r="DZ113" s="290"/>
      <c r="EA113" s="290"/>
      <c r="EB113" s="290"/>
      <c r="EC113" s="291"/>
      <c r="ED113" s="292"/>
      <c r="EE113" s="290"/>
      <c r="EF113" s="291"/>
      <c r="EG113" s="290"/>
      <c r="EH113" s="291"/>
      <c r="EI113" s="290"/>
      <c r="EJ113" s="291"/>
      <c r="EK113" s="292"/>
      <c r="EL113" s="290"/>
      <c r="EM113" s="291"/>
      <c r="EN113" s="290"/>
      <c r="EO113" s="291"/>
      <c r="EP113" s="290"/>
      <c r="EQ113" s="291"/>
      <c r="ER113" s="292"/>
      <c r="ES113" s="290"/>
      <c r="ET113" s="291"/>
      <c r="EU113" s="290"/>
      <c r="EV113" s="291"/>
      <c r="EW113" s="290"/>
      <c r="EX113" s="291"/>
      <c r="EY113" s="292"/>
      <c r="EZ113" s="290"/>
      <c r="FA113" s="291"/>
      <c r="FB113" s="290"/>
      <c r="FC113" s="291"/>
      <c r="FD113" s="290"/>
      <c r="FE113" s="291"/>
      <c r="FF113" s="292"/>
      <c r="FG113" s="290"/>
      <c r="FH113" s="291"/>
      <c r="FI113" s="290"/>
      <c r="FJ113" s="291"/>
      <c r="FK113" s="290"/>
      <c r="FL113" s="291"/>
      <c r="FM113" s="292"/>
      <c r="FN113" s="290"/>
      <c r="FO113" s="291"/>
      <c r="FP113" s="290"/>
      <c r="FQ113" s="291"/>
      <c r="FR113" s="290"/>
      <c r="FS113" s="291"/>
      <c r="FT113" s="292"/>
      <c r="FU113" s="290"/>
      <c r="FV113" s="291"/>
      <c r="FW113" s="290"/>
      <c r="FX113" s="291"/>
      <c r="FY113" s="290"/>
      <c r="FZ113" s="291"/>
      <c r="GA113" s="292"/>
    </row>
    <row r="114" spans="1:183" ht="13.5" thickBo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49"/>
      <c r="AF114" s="249"/>
      <c r="AG114" s="249"/>
      <c r="AH114" s="249"/>
      <c r="AI114" s="249"/>
      <c r="AJ114" s="249"/>
      <c r="AK114" s="249"/>
      <c r="AL114" s="249"/>
      <c r="AM114" s="249"/>
      <c r="AN114" s="249"/>
      <c r="AO114" s="249"/>
      <c r="AP114" s="249"/>
      <c r="AQ114" s="249"/>
      <c r="AR114" s="249"/>
      <c r="AS114" s="249"/>
      <c r="AT114" s="249"/>
      <c r="AU114" s="249"/>
      <c r="AV114" s="249"/>
      <c r="AW114" s="249"/>
      <c r="AX114" s="249"/>
      <c r="AY114" s="249"/>
      <c r="AZ114" s="249"/>
      <c r="BA114" s="249"/>
      <c r="BB114" s="249"/>
      <c r="BC114" s="249"/>
      <c r="BD114" s="249"/>
      <c r="BE114" s="249"/>
      <c r="BF114" s="249"/>
      <c r="BG114" s="249"/>
      <c r="BH114" s="249"/>
      <c r="BI114" s="249"/>
      <c r="BJ114" s="249"/>
      <c r="BK114" s="249"/>
      <c r="BL114" s="249"/>
      <c r="BM114" s="249"/>
      <c r="BN114" s="249"/>
      <c r="BO114" s="249"/>
      <c r="BP114" s="249"/>
      <c r="BQ114" s="249"/>
      <c r="BR114" s="249"/>
      <c r="BS114" s="249"/>
      <c r="BT114" s="249"/>
      <c r="BU114" s="249"/>
      <c r="BV114" s="249"/>
      <c r="BW114" s="249"/>
      <c r="BX114" s="249"/>
      <c r="BY114" s="249"/>
      <c r="BZ114" s="249"/>
      <c r="CA114" s="249"/>
      <c r="CB114" s="249"/>
      <c r="CC114" s="249"/>
      <c r="CD114" s="249"/>
      <c r="CE114" s="249"/>
      <c r="CF114" s="249"/>
      <c r="CG114" s="249"/>
      <c r="CH114" s="249"/>
      <c r="CI114" s="249"/>
      <c r="CJ114" s="249"/>
      <c r="CK114" s="249"/>
      <c r="CL114" s="249"/>
      <c r="CM114" s="249"/>
      <c r="CN114" s="249"/>
      <c r="CO114" s="249"/>
      <c r="CP114" s="249"/>
      <c r="CQ114" s="249"/>
      <c r="CR114" s="249"/>
      <c r="CS114" s="249"/>
      <c r="CT114" s="249"/>
      <c r="CU114" s="249"/>
      <c r="CV114" s="249"/>
      <c r="CW114" s="249"/>
      <c r="CX114" s="249"/>
      <c r="CY114" s="249"/>
      <c r="CZ114" s="249"/>
      <c r="DA114" s="249"/>
      <c r="DB114" s="249"/>
      <c r="DC114" s="249"/>
      <c r="DD114" s="249"/>
      <c r="DE114" s="249"/>
      <c r="DF114" s="249"/>
      <c r="DG114" s="249"/>
      <c r="DH114" s="249"/>
      <c r="DI114" s="249"/>
      <c r="DJ114" s="249"/>
      <c r="DK114" s="249"/>
      <c r="DL114" s="249"/>
      <c r="DM114" s="249"/>
      <c r="DN114" s="249"/>
      <c r="DO114" s="249"/>
      <c r="DP114" s="249"/>
      <c r="DQ114" s="249"/>
      <c r="DR114" s="249"/>
      <c r="DS114" s="249"/>
      <c r="DT114" s="249"/>
      <c r="DU114" s="249"/>
      <c r="DV114" s="249"/>
      <c r="DW114" s="249"/>
      <c r="DX114" s="249"/>
      <c r="DY114" s="249"/>
      <c r="DZ114" s="249"/>
      <c r="EA114" s="249"/>
      <c r="EB114" s="249"/>
      <c r="EC114" s="249"/>
      <c r="ED114" s="249"/>
      <c r="EE114" s="249"/>
      <c r="EF114" s="249"/>
      <c r="EG114" s="249"/>
      <c r="EH114" s="249"/>
      <c r="EI114" s="249"/>
      <c r="EJ114" s="249"/>
      <c r="EK114" s="249"/>
      <c r="EL114" s="249"/>
      <c r="EM114" s="249"/>
      <c r="EN114" s="249"/>
      <c r="EO114" s="249"/>
      <c r="EP114" s="249"/>
      <c r="EQ114" s="249"/>
      <c r="ER114" s="249"/>
      <c r="ES114" s="249"/>
      <c r="ET114" s="249"/>
      <c r="EU114" s="249"/>
      <c r="EV114" s="249"/>
      <c r="EW114" s="249"/>
      <c r="EX114" s="249"/>
      <c r="EY114" s="249"/>
      <c r="EZ114" s="249"/>
      <c r="FA114" s="249"/>
      <c r="FB114" s="249"/>
      <c r="FC114" s="249"/>
      <c r="FD114" s="249"/>
      <c r="FE114" s="249"/>
      <c r="FF114" s="249"/>
      <c r="FG114" s="249"/>
      <c r="FH114" s="249"/>
      <c r="FI114" s="249"/>
      <c r="FJ114" s="249"/>
      <c r="FK114" s="249"/>
      <c r="FL114" s="249"/>
      <c r="FM114" s="249"/>
      <c r="FN114" s="249"/>
      <c r="FO114" s="249"/>
      <c r="FP114" s="249"/>
      <c r="FQ114" s="249"/>
      <c r="FR114" s="249"/>
      <c r="FS114" s="249"/>
      <c r="FT114" s="249"/>
      <c r="FU114" s="249"/>
      <c r="FV114" s="249"/>
      <c r="FW114" s="249"/>
      <c r="FX114" s="249"/>
      <c r="FY114" s="249"/>
      <c r="FZ114" s="249"/>
      <c r="GA114" s="249"/>
    </row>
    <row r="115" spans="1:183" ht="12.75">
      <c r="A115" s="296" t="s">
        <v>274</v>
      </c>
      <c r="B115" s="297" t="s">
        <v>275</v>
      </c>
      <c r="C115" s="298">
        <f>B76</f>
        <v>28</v>
      </c>
      <c r="D115" s="249"/>
      <c r="E115" s="249"/>
      <c r="F115" s="249"/>
      <c r="G115" s="249"/>
      <c r="H115" s="249"/>
      <c r="I115" s="297" t="s">
        <v>275</v>
      </c>
      <c r="J115" s="298">
        <f>I76</f>
        <v>29</v>
      </c>
      <c r="K115" s="249"/>
      <c r="L115" s="249"/>
      <c r="M115" s="249"/>
      <c r="N115" s="249"/>
      <c r="O115" s="249"/>
      <c r="P115" s="297" t="s">
        <v>275</v>
      </c>
      <c r="Q115" s="298">
        <f>P76</f>
        <v>30</v>
      </c>
      <c r="R115" s="249"/>
      <c r="S115" s="249"/>
      <c r="T115" s="249"/>
      <c r="U115" s="249"/>
      <c r="V115" s="249"/>
      <c r="W115" s="297" t="s">
        <v>275</v>
      </c>
      <c r="X115" s="298">
        <f>W76</f>
        <v>31</v>
      </c>
      <c r="Y115" s="249"/>
      <c r="Z115" s="249"/>
      <c r="AA115" s="249"/>
      <c r="AB115" s="249"/>
      <c r="AC115" s="249"/>
      <c r="AD115" s="297" t="s">
        <v>275</v>
      </c>
      <c r="AE115" s="298">
        <f>AD76</f>
        <v>32</v>
      </c>
      <c r="AF115" s="249"/>
      <c r="AG115" s="249"/>
      <c r="AH115" s="249"/>
      <c r="AI115" s="249"/>
      <c r="AJ115" s="249"/>
      <c r="AK115" s="297" t="s">
        <v>275</v>
      </c>
      <c r="AL115" s="298">
        <f>AK76</f>
        <v>33</v>
      </c>
      <c r="AM115" s="249"/>
      <c r="AN115" s="249"/>
      <c r="AO115" s="249"/>
      <c r="AP115" s="249"/>
      <c r="AQ115" s="249"/>
      <c r="AR115" s="297" t="s">
        <v>275</v>
      </c>
      <c r="AS115" s="298">
        <f>AR76</f>
        <v>34</v>
      </c>
      <c r="AT115" s="249"/>
      <c r="AU115" s="249"/>
      <c r="AV115" s="249"/>
      <c r="AW115" s="249"/>
      <c r="AX115" s="249"/>
      <c r="AY115" s="297" t="s">
        <v>275</v>
      </c>
      <c r="AZ115" s="298">
        <f>AY76</f>
        <v>35</v>
      </c>
      <c r="BA115" s="249"/>
      <c r="BB115" s="249"/>
      <c r="BC115" s="249"/>
      <c r="BD115" s="249"/>
      <c r="BE115" s="249"/>
      <c r="BF115" s="297" t="s">
        <v>275</v>
      </c>
      <c r="BG115" s="298">
        <f>BF76</f>
        <v>36</v>
      </c>
      <c r="BH115" s="249"/>
      <c r="BI115" s="249"/>
      <c r="BJ115" s="249"/>
      <c r="BK115" s="249"/>
      <c r="BL115" s="249"/>
      <c r="BM115" s="297" t="s">
        <v>275</v>
      </c>
      <c r="BN115" s="298">
        <f>BM76</f>
        <v>37</v>
      </c>
      <c r="BO115" s="249"/>
      <c r="BP115" s="249"/>
      <c r="BQ115" s="249"/>
      <c r="BR115" s="249"/>
      <c r="BS115" s="249"/>
      <c r="BT115" s="297" t="s">
        <v>275</v>
      </c>
      <c r="BU115" s="298">
        <f>BT76</f>
        <v>38</v>
      </c>
      <c r="BV115" s="249"/>
      <c r="BW115" s="249"/>
      <c r="BX115" s="249"/>
      <c r="BY115" s="249"/>
      <c r="BZ115" s="249"/>
      <c r="CA115" s="297" t="s">
        <v>275</v>
      </c>
      <c r="CB115" s="298">
        <f>CA76</f>
        <v>39</v>
      </c>
      <c r="CC115" s="249"/>
      <c r="CD115" s="249"/>
      <c r="CE115" s="249"/>
      <c r="CF115" s="249"/>
      <c r="CG115" s="249"/>
      <c r="CH115" s="297" t="s">
        <v>275</v>
      </c>
      <c r="CI115" s="298">
        <f>CH76</f>
        <v>40</v>
      </c>
      <c r="CJ115" s="249"/>
      <c r="CK115" s="249"/>
      <c r="CL115" s="249"/>
      <c r="CM115" s="249"/>
      <c r="CN115" s="249"/>
      <c r="CO115" s="297" t="s">
        <v>275</v>
      </c>
      <c r="CP115" s="298">
        <f>CO76</f>
        <v>41</v>
      </c>
      <c r="CQ115" s="249"/>
      <c r="CR115" s="249"/>
      <c r="CS115" s="249"/>
      <c r="CT115" s="249"/>
      <c r="CU115" s="249"/>
      <c r="CV115" s="297" t="s">
        <v>275</v>
      </c>
      <c r="CW115" s="298">
        <f>CV76</f>
        <v>42</v>
      </c>
      <c r="CX115" s="249"/>
      <c r="CY115" s="249"/>
      <c r="CZ115" s="249"/>
      <c r="DA115" s="249"/>
      <c r="DB115" s="249"/>
      <c r="DC115" s="297" t="s">
        <v>275</v>
      </c>
      <c r="DD115" s="298">
        <f>DC76</f>
        <v>43</v>
      </c>
      <c r="DE115" s="249"/>
      <c r="DF115" s="249"/>
      <c r="DG115" s="249"/>
      <c r="DH115" s="249"/>
      <c r="DI115" s="249"/>
      <c r="DJ115" s="297" t="s">
        <v>275</v>
      </c>
      <c r="DK115" s="298">
        <f>DJ76</f>
        <v>44</v>
      </c>
      <c r="DL115" s="249"/>
      <c r="DM115" s="249"/>
      <c r="DN115" s="249"/>
      <c r="DO115" s="249"/>
      <c r="DP115" s="249"/>
      <c r="DQ115" s="297" t="s">
        <v>275</v>
      </c>
      <c r="DR115" s="298">
        <f>DQ76</f>
        <v>45</v>
      </c>
      <c r="DS115" s="249"/>
      <c r="DT115" s="249"/>
      <c r="DU115" s="249"/>
      <c r="DV115" s="249"/>
      <c r="DW115" s="249"/>
      <c r="DX115" s="297" t="s">
        <v>275</v>
      </c>
      <c r="DY115" s="298">
        <f>DX76</f>
        <v>46</v>
      </c>
      <c r="DZ115" s="249"/>
      <c r="EA115" s="249"/>
      <c r="EB115" s="249"/>
      <c r="EC115" s="249"/>
      <c r="ED115" s="249"/>
      <c r="EE115" s="297" t="s">
        <v>275</v>
      </c>
      <c r="EF115" s="298">
        <f>EE76</f>
        <v>47</v>
      </c>
      <c r="EG115" s="249"/>
      <c r="EH115" s="249"/>
      <c r="EI115" s="249"/>
      <c r="EJ115" s="249"/>
      <c r="EK115" s="249"/>
      <c r="EL115" s="297" t="s">
        <v>275</v>
      </c>
      <c r="EM115" s="298">
        <f>EL76</f>
        <v>48</v>
      </c>
      <c r="EN115" s="249"/>
      <c r="EO115" s="249"/>
      <c r="EP115" s="249"/>
      <c r="EQ115" s="249"/>
      <c r="ER115" s="249"/>
      <c r="ES115" s="297" t="s">
        <v>275</v>
      </c>
      <c r="ET115" s="298">
        <f>ES76</f>
        <v>49</v>
      </c>
      <c r="EU115" s="249"/>
      <c r="EV115" s="249"/>
      <c r="EW115" s="249"/>
      <c r="EX115" s="249"/>
      <c r="EY115" s="249"/>
      <c r="EZ115" s="297" t="s">
        <v>275</v>
      </c>
      <c r="FA115" s="298">
        <f>EZ76</f>
        <v>50</v>
      </c>
      <c r="FB115" s="249"/>
      <c r="FC115" s="249"/>
      <c r="FD115" s="249"/>
      <c r="FE115" s="249"/>
      <c r="FF115" s="249"/>
      <c r="FG115" s="297" t="s">
        <v>275</v>
      </c>
      <c r="FH115" s="298">
        <f>FG76</f>
        <v>51</v>
      </c>
      <c r="FI115" s="249"/>
      <c r="FJ115" s="249"/>
      <c r="FK115" s="249"/>
      <c r="FL115" s="249"/>
      <c r="FM115" s="249"/>
      <c r="FN115" s="297" t="s">
        <v>275</v>
      </c>
      <c r="FO115" s="298">
        <f>FN76</f>
        <v>52</v>
      </c>
      <c r="FP115" s="249"/>
      <c r="FQ115" s="249"/>
      <c r="FR115" s="249"/>
      <c r="FS115" s="249"/>
      <c r="FT115" s="249"/>
      <c r="FU115" s="297" t="s">
        <v>275</v>
      </c>
      <c r="FV115" s="298">
        <f>FU76</f>
        <v>53</v>
      </c>
      <c r="FW115" s="249"/>
      <c r="FX115" s="249"/>
      <c r="FY115" s="249"/>
      <c r="FZ115" s="249"/>
      <c r="GA115" s="249"/>
    </row>
    <row r="116" spans="1:183" ht="12.75">
      <c r="A116" s="299"/>
      <c r="B116" s="300" t="s">
        <v>43</v>
      </c>
      <c r="C116" s="301" t="s">
        <v>276</v>
      </c>
      <c r="D116" s="249"/>
      <c r="E116" s="249"/>
      <c r="F116" s="249"/>
      <c r="G116" s="249"/>
      <c r="H116" s="249"/>
      <c r="I116" s="300" t="s">
        <v>43</v>
      </c>
      <c r="J116" s="301" t="s">
        <v>276</v>
      </c>
      <c r="K116" s="249"/>
      <c r="L116" s="249"/>
      <c r="M116" s="249"/>
      <c r="N116" s="249"/>
      <c r="O116" s="249"/>
      <c r="P116" s="300" t="s">
        <v>43</v>
      </c>
      <c r="Q116" s="301" t="s">
        <v>276</v>
      </c>
      <c r="R116" s="249"/>
      <c r="S116" s="249"/>
      <c r="T116" s="249"/>
      <c r="U116" s="249"/>
      <c r="V116" s="249"/>
      <c r="W116" s="300" t="s">
        <v>43</v>
      </c>
      <c r="X116" s="301" t="s">
        <v>276</v>
      </c>
      <c r="Y116" s="249"/>
      <c r="Z116" s="249"/>
      <c r="AA116" s="249"/>
      <c r="AB116" s="249"/>
      <c r="AC116" s="249"/>
      <c r="AD116" s="300" t="s">
        <v>43</v>
      </c>
      <c r="AE116" s="301" t="s">
        <v>276</v>
      </c>
      <c r="AF116" s="249"/>
      <c r="AG116" s="249"/>
      <c r="AH116" s="249"/>
      <c r="AI116" s="249"/>
      <c r="AJ116" s="249"/>
      <c r="AK116" s="300" t="s">
        <v>43</v>
      </c>
      <c r="AL116" s="301" t="s">
        <v>276</v>
      </c>
      <c r="AM116" s="249"/>
      <c r="AN116" s="249"/>
      <c r="AO116" s="249"/>
      <c r="AP116" s="249"/>
      <c r="AQ116" s="249"/>
      <c r="AR116" s="300" t="s">
        <v>43</v>
      </c>
      <c r="AS116" s="301" t="s">
        <v>276</v>
      </c>
      <c r="AT116" s="249"/>
      <c r="AU116" s="249"/>
      <c r="AV116" s="249"/>
      <c r="AW116" s="249"/>
      <c r="AX116" s="249"/>
      <c r="AY116" s="300" t="s">
        <v>43</v>
      </c>
      <c r="AZ116" s="301" t="s">
        <v>276</v>
      </c>
      <c r="BA116" s="249"/>
      <c r="BB116" s="249"/>
      <c r="BC116" s="249"/>
      <c r="BD116" s="249"/>
      <c r="BE116" s="249"/>
      <c r="BF116" s="300" t="s">
        <v>43</v>
      </c>
      <c r="BG116" s="301" t="s">
        <v>276</v>
      </c>
      <c r="BH116" s="249"/>
      <c r="BI116" s="249"/>
      <c r="BJ116" s="249"/>
      <c r="BK116" s="249"/>
      <c r="BL116" s="249"/>
      <c r="BM116" s="300" t="s">
        <v>43</v>
      </c>
      <c r="BN116" s="301" t="s">
        <v>276</v>
      </c>
      <c r="BO116" s="249"/>
      <c r="BP116" s="249"/>
      <c r="BQ116" s="249"/>
      <c r="BR116" s="249"/>
      <c r="BS116" s="249"/>
      <c r="BT116" s="300" t="s">
        <v>43</v>
      </c>
      <c r="BU116" s="301" t="s">
        <v>276</v>
      </c>
      <c r="BV116" s="249"/>
      <c r="BW116" s="249"/>
      <c r="BX116" s="249"/>
      <c r="BY116" s="249"/>
      <c r="BZ116" s="249"/>
      <c r="CA116" s="300" t="s">
        <v>43</v>
      </c>
      <c r="CB116" s="301" t="s">
        <v>276</v>
      </c>
      <c r="CC116" s="249"/>
      <c r="CD116" s="249"/>
      <c r="CE116" s="249"/>
      <c r="CF116" s="249"/>
      <c r="CG116" s="249"/>
      <c r="CH116" s="300" t="s">
        <v>43</v>
      </c>
      <c r="CI116" s="301" t="s">
        <v>276</v>
      </c>
      <c r="CJ116" s="249"/>
      <c r="CK116" s="249"/>
      <c r="CL116" s="249"/>
      <c r="CM116" s="249"/>
      <c r="CN116" s="249"/>
      <c r="CO116" s="300" t="s">
        <v>43</v>
      </c>
      <c r="CP116" s="301" t="s">
        <v>276</v>
      </c>
      <c r="CQ116" s="249"/>
      <c r="CR116" s="249"/>
      <c r="CS116" s="249"/>
      <c r="CT116" s="249"/>
      <c r="CU116" s="249"/>
      <c r="CV116" s="300" t="s">
        <v>43</v>
      </c>
      <c r="CW116" s="301" t="s">
        <v>276</v>
      </c>
      <c r="CX116" s="249"/>
      <c r="CY116" s="249"/>
      <c r="CZ116" s="249"/>
      <c r="DA116" s="249"/>
      <c r="DB116" s="249"/>
      <c r="DC116" s="300" t="s">
        <v>43</v>
      </c>
      <c r="DD116" s="301" t="s">
        <v>276</v>
      </c>
      <c r="DE116" s="249"/>
      <c r="DF116" s="249"/>
      <c r="DG116" s="249"/>
      <c r="DH116" s="249"/>
      <c r="DI116" s="249"/>
      <c r="DJ116" s="300" t="s">
        <v>43</v>
      </c>
      <c r="DK116" s="301" t="s">
        <v>276</v>
      </c>
      <c r="DL116" s="249"/>
      <c r="DM116" s="249"/>
      <c r="DN116" s="249"/>
      <c r="DO116" s="249"/>
      <c r="DP116" s="249"/>
      <c r="DQ116" s="300" t="s">
        <v>43</v>
      </c>
      <c r="DR116" s="301" t="s">
        <v>276</v>
      </c>
      <c r="DS116" s="249"/>
      <c r="DT116" s="249"/>
      <c r="DU116" s="249"/>
      <c r="DV116" s="249"/>
      <c r="DW116" s="249"/>
      <c r="DX116" s="300" t="s">
        <v>43</v>
      </c>
      <c r="DY116" s="301" t="s">
        <v>276</v>
      </c>
      <c r="DZ116" s="249"/>
      <c r="EA116" s="249"/>
      <c r="EB116" s="249"/>
      <c r="EC116" s="249"/>
      <c r="ED116" s="249"/>
      <c r="EE116" s="300" t="s">
        <v>43</v>
      </c>
      <c r="EF116" s="301" t="s">
        <v>276</v>
      </c>
      <c r="EG116" s="249"/>
      <c r="EH116" s="249"/>
      <c r="EI116" s="249"/>
      <c r="EJ116" s="249"/>
      <c r="EK116" s="249"/>
      <c r="EL116" s="300" t="s">
        <v>43</v>
      </c>
      <c r="EM116" s="301" t="s">
        <v>276</v>
      </c>
      <c r="EN116" s="249"/>
      <c r="EO116" s="249"/>
      <c r="EP116" s="249"/>
      <c r="EQ116" s="249"/>
      <c r="ER116" s="249"/>
      <c r="ES116" s="300" t="s">
        <v>43</v>
      </c>
      <c r="ET116" s="301" t="s">
        <v>276</v>
      </c>
      <c r="EU116" s="249"/>
      <c r="EV116" s="249"/>
      <c r="EW116" s="249"/>
      <c r="EX116" s="249"/>
      <c r="EY116" s="249"/>
      <c r="EZ116" s="300" t="s">
        <v>43</v>
      </c>
      <c r="FA116" s="301" t="s">
        <v>276</v>
      </c>
      <c r="FB116" s="249"/>
      <c r="FC116" s="249"/>
      <c r="FD116" s="249"/>
      <c r="FE116" s="249"/>
      <c r="FF116" s="249"/>
      <c r="FG116" s="300" t="s">
        <v>43</v>
      </c>
      <c r="FH116" s="301" t="s">
        <v>276</v>
      </c>
      <c r="FI116" s="249"/>
      <c r="FJ116" s="249"/>
      <c r="FK116" s="249"/>
      <c r="FL116" s="249"/>
      <c r="FM116" s="249"/>
      <c r="FN116" s="300" t="s">
        <v>43</v>
      </c>
      <c r="FO116" s="301" t="s">
        <v>276</v>
      </c>
      <c r="FP116" s="249"/>
      <c r="FQ116" s="249"/>
      <c r="FR116" s="249"/>
      <c r="FS116" s="249"/>
      <c r="FT116" s="249"/>
      <c r="FU116" s="300" t="s">
        <v>43</v>
      </c>
      <c r="FV116" s="301" t="s">
        <v>276</v>
      </c>
      <c r="FW116" s="249"/>
      <c r="FX116" s="249"/>
      <c r="FY116" s="249"/>
      <c r="FZ116" s="249"/>
      <c r="GA116" s="249"/>
    </row>
    <row r="117" spans="1:183" ht="12.75">
      <c r="A117" s="302" t="s">
        <v>277</v>
      </c>
      <c r="B117" s="297">
        <f aca="true" t="shared" si="164" ref="B117:B123">SUM(B81:H81)</f>
        <v>0</v>
      </c>
      <c r="C117" s="303">
        <v>1</v>
      </c>
      <c r="D117" s="249"/>
      <c r="E117" s="249"/>
      <c r="F117" s="249"/>
      <c r="G117" s="249"/>
      <c r="H117" s="249"/>
      <c r="I117" s="297">
        <f aca="true" t="shared" si="165" ref="I117:I123">SUM(I81:O81)</f>
        <v>0</v>
      </c>
      <c r="J117" s="303">
        <v>1</v>
      </c>
      <c r="K117" s="249"/>
      <c r="L117" s="249"/>
      <c r="M117" s="249"/>
      <c r="N117" s="249"/>
      <c r="O117" s="249"/>
      <c r="P117" s="297">
        <f aca="true" t="shared" si="166" ref="P117:P123">SUM(P81:V81)</f>
        <v>0</v>
      </c>
      <c r="Q117" s="303">
        <v>1</v>
      </c>
      <c r="R117" s="249"/>
      <c r="S117" s="249"/>
      <c r="T117" s="249"/>
      <c r="U117" s="249"/>
      <c r="V117" s="249"/>
      <c r="W117" s="297">
        <f aca="true" t="shared" si="167" ref="W117:W123">SUM(W81:AC81)</f>
        <v>0</v>
      </c>
      <c r="X117" s="303">
        <v>1</v>
      </c>
      <c r="Y117" s="249"/>
      <c r="Z117" s="249"/>
      <c r="AA117" s="249"/>
      <c r="AB117" s="249"/>
      <c r="AC117" s="249"/>
      <c r="AD117" s="297">
        <f aca="true" t="shared" si="168" ref="AD117:AD123">SUM(AD81:AJ81)</f>
        <v>0</v>
      </c>
      <c r="AE117" s="303">
        <v>1</v>
      </c>
      <c r="AF117" s="249"/>
      <c r="AG117" s="249"/>
      <c r="AH117" s="249"/>
      <c r="AI117" s="249"/>
      <c r="AJ117" s="249"/>
      <c r="AK117" s="297">
        <f aca="true" t="shared" si="169" ref="AK117:AK123">SUM(AK81:AQ81)</f>
        <v>0</v>
      </c>
      <c r="AL117" s="303">
        <v>1</v>
      </c>
      <c r="AM117" s="249"/>
      <c r="AN117" s="249"/>
      <c r="AO117" s="249"/>
      <c r="AP117" s="249"/>
      <c r="AQ117" s="249"/>
      <c r="AR117" s="297">
        <f aca="true" t="shared" si="170" ref="AR117:AR123">SUM(AR81:AX81)</f>
        <v>0</v>
      </c>
      <c r="AS117" s="303">
        <v>1</v>
      </c>
      <c r="AT117" s="249"/>
      <c r="AU117" s="249"/>
      <c r="AV117" s="249"/>
      <c r="AW117" s="249"/>
      <c r="AX117" s="249"/>
      <c r="AY117" s="297">
        <f aca="true" t="shared" si="171" ref="AY117:AY123">SUM(AY81:BE81)</f>
        <v>0</v>
      </c>
      <c r="AZ117" s="303">
        <v>1</v>
      </c>
      <c r="BA117" s="249"/>
      <c r="BB117" s="249"/>
      <c r="BC117" s="249"/>
      <c r="BD117" s="249"/>
      <c r="BE117" s="249"/>
      <c r="BF117" s="297">
        <f aca="true" t="shared" si="172" ref="BF117:BF123">SUM(BF81:BL81)</f>
        <v>0</v>
      </c>
      <c r="BG117" s="303">
        <v>1</v>
      </c>
      <c r="BH117" s="249"/>
      <c r="BI117" s="249"/>
      <c r="BJ117" s="249"/>
      <c r="BK117" s="249"/>
      <c r="BL117" s="249"/>
      <c r="BM117" s="297">
        <f aca="true" t="shared" si="173" ref="BM117:BM123">SUM(BM81:BS81)</f>
        <v>0</v>
      </c>
      <c r="BN117" s="303">
        <v>1</v>
      </c>
      <c r="BO117" s="249"/>
      <c r="BP117" s="249"/>
      <c r="BQ117" s="249"/>
      <c r="BR117" s="249"/>
      <c r="BS117" s="249"/>
      <c r="BT117" s="297">
        <f aca="true" t="shared" si="174" ref="BT117:BT123">SUM(BT81:BZ81)</f>
        <v>0</v>
      </c>
      <c r="BU117" s="303">
        <v>1</v>
      </c>
      <c r="BV117" s="249"/>
      <c r="BW117" s="249"/>
      <c r="BX117" s="249"/>
      <c r="BY117" s="249"/>
      <c r="BZ117" s="249"/>
      <c r="CA117" s="297">
        <f aca="true" t="shared" si="175" ref="CA117:CA123">SUM(CA81:CG81)</f>
        <v>0</v>
      </c>
      <c r="CB117" s="303">
        <v>1</v>
      </c>
      <c r="CC117" s="249"/>
      <c r="CD117" s="249"/>
      <c r="CE117" s="249"/>
      <c r="CF117" s="249"/>
      <c r="CG117" s="249"/>
      <c r="CH117" s="297">
        <f aca="true" t="shared" si="176" ref="CH117:CH123">SUM(CH81:CN81)</f>
        <v>0</v>
      </c>
      <c r="CI117" s="303">
        <v>1</v>
      </c>
      <c r="CJ117" s="249"/>
      <c r="CK117" s="249"/>
      <c r="CL117" s="249"/>
      <c r="CM117" s="249"/>
      <c r="CN117" s="249"/>
      <c r="CO117" s="297">
        <f aca="true" t="shared" si="177" ref="CO117:CO123">SUM(CO81:CU81)</f>
        <v>0</v>
      </c>
      <c r="CP117" s="303">
        <v>1</v>
      </c>
      <c r="CQ117" s="249"/>
      <c r="CR117" s="249"/>
      <c r="CS117" s="249"/>
      <c r="CT117" s="249"/>
      <c r="CU117" s="249"/>
      <c r="CV117" s="297">
        <f aca="true" t="shared" si="178" ref="CV117:CV123">SUM(CV81:DB81)</f>
        <v>0</v>
      </c>
      <c r="CW117" s="303">
        <v>1</v>
      </c>
      <c r="CX117" s="249"/>
      <c r="CY117" s="249"/>
      <c r="CZ117" s="249"/>
      <c r="DA117" s="249"/>
      <c r="DB117" s="249"/>
      <c r="DC117" s="297">
        <f aca="true" t="shared" si="179" ref="DC117:DC123">SUM(DC81:DI81)</f>
        <v>0</v>
      </c>
      <c r="DD117" s="303">
        <v>1</v>
      </c>
      <c r="DE117" s="249"/>
      <c r="DF117" s="249"/>
      <c r="DG117" s="249"/>
      <c r="DH117" s="249"/>
      <c r="DI117" s="249"/>
      <c r="DJ117" s="297">
        <f aca="true" t="shared" si="180" ref="DJ117:DJ123">SUM(DJ81:DP81)</f>
        <v>0</v>
      </c>
      <c r="DK117" s="303">
        <v>1</v>
      </c>
      <c r="DL117" s="249"/>
      <c r="DM117" s="249"/>
      <c r="DN117" s="249"/>
      <c r="DO117" s="249"/>
      <c r="DP117" s="249"/>
      <c r="DQ117" s="297">
        <f aca="true" t="shared" si="181" ref="DQ117:DQ123">SUM(DQ81:DW81)</f>
        <v>0</v>
      </c>
      <c r="DR117" s="303">
        <v>1</v>
      </c>
      <c r="DS117" s="249"/>
      <c r="DT117" s="249"/>
      <c r="DU117" s="249"/>
      <c r="DV117" s="249"/>
      <c r="DW117" s="249"/>
      <c r="DX117" s="297">
        <f aca="true" t="shared" si="182" ref="DX117:DX123">SUM(DX81:ED81)</f>
        <v>0</v>
      </c>
      <c r="DY117" s="303">
        <v>1</v>
      </c>
      <c r="DZ117" s="249"/>
      <c r="EA117" s="249"/>
      <c r="EB117" s="249"/>
      <c r="EC117" s="249"/>
      <c r="ED117" s="249"/>
      <c r="EE117" s="297">
        <f aca="true" t="shared" si="183" ref="EE117:EE123">SUM(EE81:EK81)</f>
        <v>0</v>
      </c>
      <c r="EF117" s="303">
        <v>1</v>
      </c>
      <c r="EG117" s="249"/>
      <c r="EH117" s="249"/>
      <c r="EI117" s="249"/>
      <c r="EJ117" s="249"/>
      <c r="EK117" s="249"/>
      <c r="EL117" s="297">
        <f aca="true" t="shared" si="184" ref="EL117:EL123">SUM(EL81:ER81)</f>
        <v>0</v>
      </c>
      <c r="EM117" s="303">
        <v>1</v>
      </c>
      <c r="EN117" s="249"/>
      <c r="EO117" s="249"/>
      <c r="EP117" s="249"/>
      <c r="EQ117" s="249"/>
      <c r="ER117" s="249"/>
      <c r="ES117" s="297">
        <f aca="true" t="shared" si="185" ref="ES117:ES123">SUM(ES81:EY81)</f>
        <v>0</v>
      </c>
      <c r="ET117" s="303">
        <v>1</v>
      </c>
      <c r="EU117" s="249"/>
      <c r="EV117" s="249"/>
      <c r="EW117" s="249"/>
      <c r="EX117" s="249"/>
      <c r="EY117" s="249"/>
      <c r="EZ117" s="297">
        <f aca="true" t="shared" si="186" ref="EZ117:EZ123">SUM(EZ81:FF81)</f>
        <v>0</v>
      </c>
      <c r="FA117" s="303">
        <v>1</v>
      </c>
      <c r="FB117" s="249"/>
      <c r="FC117" s="249"/>
      <c r="FD117" s="249"/>
      <c r="FE117" s="249"/>
      <c r="FF117" s="249"/>
      <c r="FG117" s="297">
        <f aca="true" t="shared" si="187" ref="FG117:FG123">SUM(FG81:FM81)</f>
        <v>0</v>
      </c>
      <c r="FH117" s="303">
        <v>1</v>
      </c>
      <c r="FI117" s="249"/>
      <c r="FJ117" s="249"/>
      <c r="FK117" s="249"/>
      <c r="FL117" s="249"/>
      <c r="FM117" s="249"/>
      <c r="FN117" s="297">
        <f aca="true" t="shared" si="188" ref="FN117:FN123">SUM(FN81:FT81)</f>
        <v>0</v>
      </c>
      <c r="FO117" s="303">
        <v>1</v>
      </c>
      <c r="FP117" s="249"/>
      <c r="FQ117" s="249"/>
      <c r="FR117" s="249"/>
      <c r="FS117" s="249"/>
      <c r="FT117" s="249"/>
      <c r="FU117" s="297">
        <f aca="true" t="shared" si="189" ref="FU117:FU123">SUM(FU81:GA81)</f>
        <v>0</v>
      </c>
      <c r="FV117" s="303">
        <v>1</v>
      </c>
      <c r="FW117" s="249"/>
      <c r="FX117" s="249"/>
      <c r="FY117" s="249"/>
      <c r="FZ117" s="249"/>
      <c r="GA117" s="249"/>
    </row>
    <row r="118" spans="1:183" ht="12.75">
      <c r="A118" s="304" t="s">
        <v>278</v>
      </c>
      <c r="B118" s="297">
        <f t="shared" si="164"/>
        <v>0</v>
      </c>
      <c r="C118" s="303" t="e">
        <f>B118/B117</f>
        <v>#DIV/0!</v>
      </c>
      <c r="D118" s="249"/>
      <c r="E118" s="249"/>
      <c r="F118" s="249"/>
      <c r="G118" s="249"/>
      <c r="H118" s="249"/>
      <c r="I118" s="297">
        <f t="shared" si="165"/>
        <v>0</v>
      </c>
      <c r="J118" s="303" t="e">
        <f>I118/I117</f>
        <v>#DIV/0!</v>
      </c>
      <c r="K118" s="249"/>
      <c r="L118" s="249"/>
      <c r="M118" s="249"/>
      <c r="N118" s="249"/>
      <c r="O118" s="249"/>
      <c r="P118" s="297">
        <f t="shared" si="166"/>
        <v>0</v>
      </c>
      <c r="Q118" s="303" t="e">
        <f>P118/P117</f>
        <v>#DIV/0!</v>
      </c>
      <c r="R118" s="249"/>
      <c r="S118" s="249"/>
      <c r="T118" s="249"/>
      <c r="U118" s="249"/>
      <c r="V118" s="249"/>
      <c r="W118" s="297">
        <f t="shared" si="167"/>
        <v>0</v>
      </c>
      <c r="X118" s="303" t="e">
        <f>W118/W117</f>
        <v>#DIV/0!</v>
      </c>
      <c r="Y118" s="249"/>
      <c r="Z118" s="249"/>
      <c r="AA118" s="249"/>
      <c r="AB118" s="249"/>
      <c r="AC118" s="249"/>
      <c r="AD118" s="297">
        <f t="shared" si="168"/>
        <v>0</v>
      </c>
      <c r="AE118" s="303" t="e">
        <f>AD118/AD117</f>
        <v>#DIV/0!</v>
      </c>
      <c r="AF118" s="249"/>
      <c r="AG118" s="249"/>
      <c r="AH118" s="249"/>
      <c r="AI118" s="249"/>
      <c r="AJ118" s="249"/>
      <c r="AK118" s="297">
        <f t="shared" si="169"/>
        <v>0</v>
      </c>
      <c r="AL118" s="303" t="e">
        <f>AK118/AK117</f>
        <v>#DIV/0!</v>
      </c>
      <c r="AM118" s="249"/>
      <c r="AN118" s="249"/>
      <c r="AO118" s="249"/>
      <c r="AP118" s="249"/>
      <c r="AQ118" s="249"/>
      <c r="AR118" s="297">
        <f t="shared" si="170"/>
        <v>0</v>
      </c>
      <c r="AS118" s="303" t="e">
        <f>AR118/AR117</f>
        <v>#DIV/0!</v>
      </c>
      <c r="AT118" s="249"/>
      <c r="AU118" s="249"/>
      <c r="AV118" s="249"/>
      <c r="AW118" s="249"/>
      <c r="AX118" s="249"/>
      <c r="AY118" s="297">
        <f t="shared" si="171"/>
        <v>0</v>
      </c>
      <c r="AZ118" s="303" t="e">
        <f>AY118/AY117</f>
        <v>#DIV/0!</v>
      </c>
      <c r="BA118" s="249"/>
      <c r="BB118" s="249"/>
      <c r="BC118" s="249"/>
      <c r="BD118" s="249"/>
      <c r="BE118" s="249"/>
      <c r="BF118" s="297">
        <f t="shared" si="172"/>
        <v>0</v>
      </c>
      <c r="BG118" s="303" t="e">
        <f>BF118/BF117</f>
        <v>#DIV/0!</v>
      </c>
      <c r="BH118" s="249"/>
      <c r="BI118" s="249"/>
      <c r="BJ118" s="249"/>
      <c r="BK118" s="249"/>
      <c r="BL118" s="249"/>
      <c r="BM118" s="297">
        <f t="shared" si="173"/>
        <v>0</v>
      </c>
      <c r="BN118" s="303" t="e">
        <f>BM118/BM117</f>
        <v>#DIV/0!</v>
      </c>
      <c r="BO118" s="249"/>
      <c r="BP118" s="249"/>
      <c r="BQ118" s="249"/>
      <c r="BR118" s="249"/>
      <c r="BS118" s="249"/>
      <c r="BT118" s="297">
        <f t="shared" si="174"/>
        <v>0</v>
      </c>
      <c r="BU118" s="303" t="e">
        <f>BT118/BT117</f>
        <v>#DIV/0!</v>
      </c>
      <c r="BV118" s="249"/>
      <c r="BW118" s="249"/>
      <c r="BX118" s="249"/>
      <c r="BY118" s="249"/>
      <c r="BZ118" s="249"/>
      <c r="CA118" s="297">
        <f t="shared" si="175"/>
        <v>0</v>
      </c>
      <c r="CB118" s="303" t="e">
        <f>CA118/CA117</f>
        <v>#DIV/0!</v>
      </c>
      <c r="CC118" s="249"/>
      <c r="CD118" s="249"/>
      <c r="CE118" s="249"/>
      <c r="CF118" s="249"/>
      <c r="CG118" s="249"/>
      <c r="CH118" s="297">
        <f t="shared" si="176"/>
        <v>0</v>
      </c>
      <c r="CI118" s="303" t="e">
        <f>CH118/CH117</f>
        <v>#DIV/0!</v>
      </c>
      <c r="CJ118" s="249"/>
      <c r="CK118" s="249"/>
      <c r="CL118" s="249"/>
      <c r="CM118" s="249"/>
      <c r="CN118" s="249"/>
      <c r="CO118" s="297">
        <f t="shared" si="177"/>
        <v>0</v>
      </c>
      <c r="CP118" s="303" t="e">
        <f>CO118/CO117</f>
        <v>#DIV/0!</v>
      </c>
      <c r="CQ118" s="249"/>
      <c r="CR118" s="249"/>
      <c r="CS118" s="249"/>
      <c r="CT118" s="249"/>
      <c r="CU118" s="249"/>
      <c r="CV118" s="297">
        <f t="shared" si="178"/>
        <v>0</v>
      </c>
      <c r="CW118" s="303" t="e">
        <f>CV118/CV117</f>
        <v>#DIV/0!</v>
      </c>
      <c r="CX118" s="249"/>
      <c r="CY118" s="249"/>
      <c r="CZ118" s="249"/>
      <c r="DA118" s="249"/>
      <c r="DB118" s="249"/>
      <c r="DC118" s="297">
        <f t="shared" si="179"/>
        <v>0</v>
      </c>
      <c r="DD118" s="303" t="e">
        <f>DC118/DC117</f>
        <v>#DIV/0!</v>
      </c>
      <c r="DE118" s="249"/>
      <c r="DF118" s="249"/>
      <c r="DG118" s="249"/>
      <c r="DH118" s="249"/>
      <c r="DI118" s="249"/>
      <c r="DJ118" s="297">
        <f t="shared" si="180"/>
        <v>0</v>
      </c>
      <c r="DK118" s="303" t="e">
        <f>DJ118/DJ117</f>
        <v>#DIV/0!</v>
      </c>
      <c r="DL118" s="249"/>
      <c r="DM118" s="249"/>
      <c r="DN118" s="249"/>
      <c r="DO118" s="249"/>
      <c r="DP118" s="249"/>
      <c r="DQ118" s="297">
        <f t="shared" si="181"/>
        <v>0</v>
      </c>
      <c r="DR118" s="303" t="e">
        <f>DQ118/DQ117</f>
        <v>#DIV/0!</v>
      </c>
      <c r="DS118" s="249"/>
      <c r="DT118" s="249"/>
      <c r="DU118" s="249"/>
      <c r="DV118" s="249"/>
      <c r="DW118" s="249"/>
      <c r="DX118" s="297">
        <f t="shared" si="182"/>
        <v>0</v>
      </c>
      <c r="DY118" s="303" t="e">
        <f>DX118/DX117</f>
        <v>#DIV/0!</v>
      </c>
      <c r="DZ118" s="249"/>
      <c r="EA118" s="249"/>
      <c r="EB118" s="249"/>
      <c r="EC118" s="249"/>
      <c r="ED118" s="249"/>
      <c r="EE118" s="297">
        <f t="shared" si="183"/>
        <v>0</v>
      </c>
      <c r="EF118" s="303" t="e">
        <f>EE118/EE117</f>
        <v>#DIV/0!</v>
      </c>
      <c r="EG118" s="249"/>
      <c r="EH118" s="249"/>
      <c r="EI118" s="249"/>
      <c r="EJ118" s="249"/>
      <c r="EK118" s="249"/>
      <c r="EL118" s="297">
        <f t="shared" si="184"/>
        <v>0</v>
      </c>
      <c r="EM118" s="303" t="e">
        <f>EL118/EL117</f>
        <v>#DIV/0!</v>
      </c>
      <c r="EN118" s="249"/>
      <c r="EO118" s="249"/>
      <c r="EP118" s="249"/>
      <c r="EQ118" s="249"/>
      <c r="ER118" s="249"/>
      <c r="ES118" s="297">
        <f t="shared" si="185"/>
        <v>0</v>
      </c>
      <c r="ET118" s="303" t="e">
        <f>ES118/ES117</f>
        <v>#DIV/0!</v>
      </c>
      <c r="EU118" s="249"/>
      <c r="EV118" s="249"/>
      <c r="EW118" s="249"/>
      <c r="EX118" s="249"/>
      <c r="EY118" s="249"/>
      <c r="EZ118" s="297">
        <f t="shared" si="186"/>
        <v>0</v>
      </c>
      <c r="FA118" s="303" t="e">
        <f>EZ118/EZ117</f>
        <v>#DIV/0!</v>
      </c>
      <c r="FB118" s="249"/>
      <c r="FC118" s="249"/>
      <c r="FD118" s="249"/>
      <c r="FE118" s="249"/>
      <c r="FF118" s="249"/>
      <c r="FG118" s="297">
        <f t="shared" si="187"/>
        <v>0</v>
      </c>
      <c r="FH118" s="303" t="e">
        <f>FG118/FG117</f>
        <v>#DIV/0!</v>
      </c>
      <c r="FI118" s="249"/>
      <c r="FJ118" s="249"/>
      <c r="FK118" s="249"/>
      <c r="FL118" s="249"/>
      <c r="FM118" s="249"/>
      <c r="FN118" s="297">
        <f t="shared" si="188"/>
        <v>0</v>
      </c>
      <c r="FO118" s="303" t="e">
        <f>FN118/FN117</f>
        <v>#DIV/0!</v>
      </c>
      <c r="FP118" s="249"/>
      <c r="FQ118" s="249"/>
      <c r="FR118" s="249"/>
      <c r="FS118" s="249"/>
      <c r="FT118" s="249"/>
      <c r="FU118" s="297">
        <f t="shared" si="189"/>
        <v>0</v>
      </c>
      <c r="FV118" s="303" t="e">
        <f>FU118/FU117</f>
        <v>#DIV/0!</v>
      </c>
      <c r="FW118" s="249"/>
      <c r="FX118" s="249"/>
      <c r="FY118" s="249"/>
      <c r="FZ118" s="249"/>
      <c r="GA118" s="249"/>
    </row>
    <row r="119" spans="1:183" ht="12.75">
      <c r="A119" s="304" t="s">
        <v>279</v>
      </c>
      <c r="B119" s="297">
        <f t="shared" si="164"/>
        <v>0</v>
      </c>
      <c r="C119" s="303" t="e">
        <f>B119/B117</f>
        <v>#DIV/0!</v>
      </c>
      <c r="D119" s="249"/>
      <c r="E119" s="249"/>
      <c r="F119" s="249"/>
      <c r="G119" s="249"/>
      <c r="H119" s="249"/>
      <c r="I119" s="297">
        <f t="shared" si="165"/>
        <v>0</v>
      </c>
      <c r="J119" s="303" t="e">
        <f>I119/I117</f>
        <v>#DIV/0!</v>
      </c>
      <c r="K119" s="249"/>
      <c r="L119" s="249"/>
      <c r="M119" s="249"/>
      <c r="N119" s="249"/>
      <c r="O119" s="249"/>
      <c r="P119" s="297">
        <f t="shared" si="166"/>
        <v>0</v>
      </c>
      <c r="Q119" s="303" t="e">
        <f>P119/P117</f>
        <v>#DIV/0!</v>
      </c>
      <c r="R119" s="249"/>
      <c r="S119" s="249"/>
      <c r="T119" s="249"/>
      <c r="U119" s="249"/>
      <c r="V119" s="249"/>
      <c r="W119" s="297">
        <f t="shared" si="167"/>
        <v>0</v>
      </c>
      <c r="X119" s="303" t="e">
        <f>W119/W117</f>
        <v>#DIV/0!</v>
      </c>
      <c r="Y119" s="249"/>
      <c r="Z119" s="249"/>
      <c r="AA119" s="249"/>
      <c r="AB119" s="249"/>
      <c r="AC119" s="249"/>
      <c r="AD119" s="297">
        <f t="shared" si="168"/>
        <v>0</v>
      </c>
      <c r="AE119" s="303" t="e">
        <f>AD119/AD117</f>
        <v>#DIV/0!</v>
      </c>
      <c r="AF119" s="249"/>
      <c r="AG119" s="249"/>
      <c r="AH119" s="249"/>
      <c r="AI119" s="249"/>
      <c r="AJ119" s="249"/>
      <c r="AK119" s="297">
        <f t="shared" si="169"/>
        <v>0</v>
      </c>
      <c r="AL119" s="303" t="e">
        <f>AK119/AK117</f>
        <v>#DIV/0!</v>
      </c>
      <c r="AM119" s="249"/>
      <c r="AN119" s="249"/>
      <c r="AO119" s="249"/>
      <c r="AP119" s="249"/>
      <c r="AQ119" s="249"/>
      <c r="AR119" s="297">
        <f t="shared" si="170"/>
        <v>0</v>
      </c>
      <c r="AS119" s="303" t="e">
        <f>AR119/AR117</f>
        <v>#DIV/0!</v>
      </c>
      <c r="AT119" s="249"/>
      <c r="AU119" s="249"/>
      <c r="AV119" s="249"/>
      <c r="AW119" s="249"/>
      <c r="AX119" s="249"/>
      <c r="AY119" s="297">
        <f t="shared" si="171"/>
        <v>0</v>
      </c>
      <c r="AZ119" s="303" t="e">
        <f>AY119/AY117</f>
        <v>#DIV/0!</v>
      </c>
      <c r="BA119" s="249"/>
      <c r="BB119" s="249"/>
      <c r="BC119" s="249"/>
      <c r="BD119" s="249"/>
      <c r="BE119" s="249"/>
      <c r="BF119" s="297">
        <f t="shared" si="172"/>
        <v>0</v>
      </c>
      <c r="BG119" s="303" t="e">
        <f>BF119/BF117</f>
        <v>#DIV/0!</v>
      </c>
      <c r="BH119" s="249"/>
      <c r="BI119" s="249"/>
      <c r="BJ119" s="249"/>
      <c r="BK119" s="249"/>
      <c r="BL119" s="249"/>
      <c r="BM119" s="297">
        <f t="shared" si="173"/>
        <v>0</v>
      </c>
      <c r="BN119" s="303" t="e">
        <f>BM119/BM117</f>
        <v>#DIV/0!</v>
      </c>
      <c r="BO119" s="249"/>
      <c r="BP119" s="249"/>
      <c r="BQ119" s="249"/>
      <c r="BR119" s="249"/>
      <c r="BS119" s="249"/>
      <c r="BT119" s="297">
        <f t="shared" si="174"/>
        <v>0</v>
      </c>
      <c r="BU119" s="303" t="e">
        <f>BT119/BT117</f>
        <v>#DIV/0!</v>
      </c>
      <c r="BV119" s="249"/>
      <c r="BW119" s="249"/>
      <c r="BX119" s="249"/>
      <c r="BY119" s="249"/>
      <c r="BZ119" s="249"/>
      <c r="CA119" s="297">
        <f t="shared" si="175"/>
        <v>0</v>
      </c>
      <c r="CB119" s="303" t="e">
        <f>CA119/CA117</f>
        <v>#DIV/0!</v>
      </c>
      <c r="CC119" s="249"/>
      <c r="CD119" s="249"/>
      <c r="CE119" s="249"/>
      <c r="CF119" s="249"/>
      <c r="CG119" s="249"/>
      <c r="CH119" s="297">
        <f t="shared" si="176"/>
        <v>0</v>
      </c>
      <c r="CI119" s="303" t="e">
        <f>CH119/CH117</f>
        <v>#DIV/0!</v>
      </c>
      <c r="CJ119" s="249"/>
      <c r="CK119" s="249"/>
      <c r="CL119" s="249"/>
      <c r="CM119" s="249"/>
      <c r="CN119" s="249"/>
      <c r="CO119" s="297">
        <f t="shared" si="177"/>
        <v>0</v>
      </c>
      <c r="CP119" s="303" t="e">
        <f>CO119/CO117</f>
        <v>#DIV/0!</v>
      </c>
      <c r="CQ119" s="249"/>
      <c r="CR119" s="249"/>
      <c r="CS119" s="249"/>
      <c r="CT119" s="249"/>
      <c r="CU119" s="249"/>
      <c r="CV119" s="297">
        <f t="shared" si="178"/>
        <v>0</v>
      </c>
      <c r="CW119" s="303" t="e">
        <f>CV119/CV117</f>
        <v>#DIV/0!</v>
      </c>
      <c r="CX119" s="249"/>
      <c r="CY119" s="249"/>
      <c r="CZ119" s="249"/>
      <c r="DA119" s="249"/>
      <c r="DB119" s="249"/>
      <c r="DC119" s="297">
        <f t="shared" si="179"/>
        <v>0</v>
      </c>
      <c r="DD119" s="303" t="e">
        <f>DC119/DC117</f>
        <v>#DIV/0!</v>
      </c>
      <c r="DE119" s="249"/>
      <c r="DF119" s="249"/>
      <c r="DG119" s="249"/>
      <c r="DH119" s="249"/>
      <c r="DI119" s="249"/>
      <c r="DJ119" s="297">
        <f t="shared" si="180"/>
        <v>0</v>
      </c>
      <c r="DK119" s="303" t="e">
        <f>DJ119/DJ117</f>
        <v>#DIV/0!</v>
      </c>
      <c r="DL119" s="249"/>
      <c r="DM119" s="249"/>
      <c r="DN119" s="249"/>
      <c r="DO119" s="249"/>
      <c r="DP119" s="249"/>
      <c r="DQ119" s="297">
        <f t="shared" si="181"/>
        <v>0</v>
      </c>
      <c r="DR119" s="303" t="e">
        <f>DQ119/DQ117</f>
        <v>#DIV/0!</v>
      </c>
      <c r="DS119" s="249"/>
      <c r="DT119" s="249"/>
      <c r="DU119" s="249"/>
      <c r="DV119" s="249"/>
      <c r="DW119" s="249"/>
      <c r="DX119" s="297">
        <f t="shared" si="182"/>
        <v>0</v>
      </c>
      <c r="DY119" s="303" t="e">
        <f>DX119/DX117</f>
        <v>#DIV/0!</v>
      </c>
      <c r="DZ119" s="249"/>
      <c r="EA119" s="249"/>
      <c r="EB119" s="249"/>
      <c r="EC119" s="249"/>
      <c r="ED119" s="249"/>
      <c r="EE119" s="297">
        <f t="shared" si="183"/>
        <v>0</v>
      </c>
      <c r="EF119" s="303" t="e">
        <f>EE119/EE117</f>
        <v>#DIV/0!</v>
      </c>
      <c r="EG119" s="249"/>
      <c r="EH119" s="249"/>
      <c r="EI119" s="249"/>
      <c r="EJ119" s="249"/>
      <c r="EK119" s="249"/>
      <c r="EL119" s="297">
        <f t="shared" si="184"/>
        <v>0</v>
      </c>
      <c r="EM119" s="303" t="e">
        <f>EL119/EL117</f>
        <v>#DIV/0!</v>
      </c>
      <c r="EN119" s="249"/>
      <c r="EO119" s="249"/>
      <c r="EP119" s="249"/>
      <c r="EQ119" s="249"/>
      <c r="ER119" s="249"/>
      <c r="ES119" s="297">
        <f t="shared" si="185"/>
        <v>0</v>
      </c>
      <c r="ET119" s="303" t="e">
        <f>ES119/ES117</f>
        <v>#DIV/0!</v>
      </c>
      <c r="EU119" s="249"/>
      <c r="EV119" s="249"/>
      <c r="EW119" s="249"/>
      <c r="EX119" s="249"/>
      <c r="EY119" s="249"/>
      <c r="EZ119" s="297">
        <f t="shared" si="186"/>
        <v>0</v>
      </c>
      <c r="FA119" s="303" t="e">
        <f>EZ119/EZ117</f>
        <v>#DIV/0!</v>
      </c>
      <c r="FB119" s="249"/>
      <c r="FC119" s="249"/>
      <c r="FD119" s="249"/>
      <c r="FE119" s="249"/>
      <c r="FF119" s="249"/>
      <c r="FG119" s="297">
        <f t="shared" si="187"/>
        <v>0</v>
      </c>
      <c r="FH119" s="303" t="e">
        <f>FG119/FG117</f>
        <v>#DIV/0!</v>
      </c>
      <c r="FI119" s="249"/>
      <c r="FJ119" s="249"/>
      <c r="FK119" s="249"/>
      <c r="FL119" s="249"/>
      <c r="FM119" s="249"/>
      <c r="FN119" s="297">
        <f t="shared" si="188"/>
        <v>0</v>
      </c>
      <c r="FO119" s="303" t="e">
        <f>FN119/FN117</f>
        <v>#DIV/0!</v>
      </c>
      <c r="FP119" s="249"/>
      <c r="FQ119" s="249"/>
      <c r="FR119" s="249"/>
      <c r="FS119" s="249"/>
      <c r="FT119" s="249"/>
      <c r="FU119" s="297">
        <f t="shared" si="189"/>
        <v>0</v>
      </c>
      <c r="FV119" s="303" t="e">
        <f>FU119/FU117</f>
        <v>#DIV/0!</v>
      </c>
      <c r="FW119" s="249"/>
      <c r="FX119" s="249"/>
      <c r="FY119" s="249"/>
      <c r="FZ119" s="249"/>
      <c r="GA119" s="249"/>
    </row>
    <row r="120" spans="1:183" ht="12.75">
      <c r="A120" s="304" t="s">
        <v>280</v>
      </c>
      <c r="B120" s="297">
        <f t="shared" si="164"/>
        <v>0</v>
      </c>
      <c r="C120" s="303" t="e">
        <f>B120/B117</f>
        <v>#DIV/0!</v>
      </c>
      <c r="D120" s="249"/>
      <c r="E120" s="249"/>
      <c r="F120" s="249"/>
      <c r="G120" s="249"/>
      <c r="H120" s="249"/>
      <c r="I120" s="297">
        <f t="shared" si="165"/>
        <v>0</v>
      </c>
      <c r="J120" s="303" t="e">
        <f>I120/I117</f>
        <v>#DIV/0!</v>
      </c>
      <c r="K120" s="249"/>
      <c r="L120" s="249"/>
      <c r="M120" s="249"/>
      <c r="N120" s="249"/>
      <c r="O120" s="249"/>
      <c r="P120" s="297">
        <f t="shared" si="166"/>
        <v>0</v>
      </c>
      <c r="Q120" s="303" t="e">
        <f>P120/P117</f>
        <v>#DIV/0!</v>
      </c>
      <c r="R120" s="249"/>
      <c r="S120" s="249"/>
      <c r="T120" s="249"/>
      <c r="U120" s="249"/>
      <c r="V120" s="249"/>
      <c r="W120" s="297">
        <f t="shared" si="167"/>
        <v>0</v>
      </c>
      <c r="X120" s="303" t="e">
        <f>W120/W117</f>
        <v>#DIV/0!</v>
      </c>
      <c r="Y120" s="249"/>
      <c r="Z120" s="249"/>
      <c r="AA120" s="249"/>
      <c r="AB120" s="249"/>
      <c r="AC120" s="249"/>
      <c r="AD120" s="297">
        <f t="shared" si="168"/>
        <v>0</v>
      </c>
      <c r="AE120" s="303" t="e">
        <f>AD120/AD117</f>
        <v>#DIV/0!</v>
      </c>
      <c r="AF120" s="249"/>
      <c r="AG120" s="249"/>
      <c r="AH120" s="249"/>
      <c r="AI120" s="249"/>
      <c r="AJ120" s="249"/>
      <c r="AK120" s="297">
        <f t="shared" si="169"/>
        <v>0</v>
      </c>
      <c r="AL120" s="303" t="e">
        <f>AK120/AK117</f>
        <v>#DIV/0!</v>
      </c>
      <c r="AM120" s="249"/>
      <c r="AN120" s="249"/>
      <c r="AO120" s="249"/>
      <c r="AP120" s="249"/>
      <c r="AQ120" s="249"/>
      <c r="AR120" s="297">
        <f t="shared" si="170"/>
        <v>0</v>
      </c>
      <c r="AS120" s="303" t="e">
        <f>AR120/AR117</f>
        <v>#DIV/0!</v>
      </c>
      <c r="AT120" s="249"/>
      <c r="AU120" s="249"/>
      <c r="AV120" s="249"/>
      <c r="AW120" s="249"/>
      <c r="AX120" s="249"/>
      <c r="AY120" s="297">
        <f t="shared" si="171"/>
        <v>0</v>
      </c>
      <c r="AZ120" s="303" t="e">
        <f>AY120/AY117</f>
        <v>#DIV/0!</v>
      </c>
      <c r="BA120" s="249"/>
      <c r="BB120" s="249"/>
      <c r="BC120" s="249"/>
      <c r="BD120" s="249"/>
      <c r="BE120" s="249"/>
      <c r="BF120" s="297">
        <f t="shared" si="172"/>
        <v>0</v>
      </c>
      <c r="BG120" s="303" t="e">
        <f>BF120/BF117</f>
        <v>#DIV/0!</v>
      </c>
      <c r="BH120" s="249"/>
      <c r="BI120" s="249"/>
      <c r="BJ120" s="249"/>
      <c r="BK120" s="249"/>
      <c r="BL120" s="249"/>
      <c r="BM120" s="297">
        <f t="shared" si="173"/>
        <v>0</v>
      </c>
      <c r="BN120" s="303" t="e">
        <f>BM120/BM117</f>
        <v>#DIV/0!</v>
      </c>
      <c r="BO120" s="249"/>
      <c r="BP120" s="249"/>
      <c r="BQ120" s="249"/>
      <c r="BR120" s="249"/>
      <c r="BS120" s="249"/>
      <c r="BT120" s="297">
        <f t="shared" si="174"/>
        <v>0</v>
      </c>
      <c r="BU120" s="303" t="e">
        <f>BT120/BT117</f>
        <v>#DIV/0!</v>
      </c>
      <c r="BV120" s="249"/>
      <c r="BW120" s="249"/>
      <c r="BX120" s="249"/>
      <c r="BY120" s="249"/>
      <c r="BZ120" s="249"/>
      <c r="CA120" s="297">
        <f t="shared" si="175"/>
        <v>0</v>
      </c>
      <c r="CB120" s="303" t="e">
        <f>CA120/CA117</f>
        <v>#DIV/0!</v>
      </c>
      <c r="CC120" s="249"/>
      <c r="CD120" s="249"/>
      <c r="CE120" s="249"/>
      <c r="CF120" s="249"/>
      <c r="CG120" s="249"/>
      <c r="CH120" s="297">
        <f t="shared" si="176"/>
        <v>0</v>
      </c>
      <c r="CI120" s="303" t="e">
        <f>CH120/CH117</f>
        <v>#DIV/0!</v>
      </c>
      <c r="CJ120" s="249"/>
      <c r="CK120" s="249"/>
      <c r="CL120" s="249"/>
      <c r="CM120" s="249"/>
      <c r="CN120" s="249"/>
      <c r="CO120" s="297">
        <f t="shared" si="177"/>
        <v>0</v>
      </c>
      <c r="CP120" s="303" t="e">
        <f>CO120/CO117</f>
        <v>#DIV/0!</v>
      </c>
      <c r="CQ120" s="249"/>
      <c r="CR120" s="249"/>
      <c r="CS120" s="249"/>
      <c r="CT120" s="249"/>
      <c r="CU120" s="249"/>
      <c r="CV120" s="297">
        <f t="shared" si="178"/>
        <v>0</v>
      </c>
      <c r="CW120" s="303" t="e">
        <f>CV120/CV117</f>
        <v>#DIV/0!</v>
      </c>
      <c r="CX120" s="249"/>
      <c r="CY120" s="249"/>
      <c r="CZ120" s="249"/>
      <c r="DA120" s="249"/>
      <c r="DB120" s="249"/>
      <c r="DC120" s="297">
        <f t="shared" si="179"/>
        <v>0</v>
      </c>
      <c r="DD120" s="303" t="e">
        <f>DC120/DC117</f>
        <v>#DIV/0!</v>
      </c>
      <c r="DE120" s="249"/>
      <c r="DF120" s="249"/>
      <c r="DG120" s="249"/>
      <c r="DH120" s="249"/>
      <c r="DI120" s="249"/>
      <c r="DJ120" s="297">
        <f t="shared" si="180"/>
        <v>0</v>
      </c>
      <c r="DK120" s="303" t="e">
        <f>DJ120/DJ117</f>
        <v>#DIV/0!</v>
      </c>
      <c r="DL120" s="249"/>
      <c r="DM120" s="249"/>
      <c r="DN120" s="249"/>
      <c r="DO120" s="249"/>
      <c r="DP120" s="249"/>
      <c r="DQ120" s="297">
        <f t="shared" si="181"/>
        <v>0</v>
      </c>
      <c r="DR120" s="303" t="e">
        <f>DQ120/DQ117</f>
        <v>#DIV/0!</v>
      </c>
      <c r="DS120" s="249"/>
      <c r="DT120" s="249"/>
      <c r="DU120" s="249"/>
      <c r="DV120" s="249"/>
      <c r="DW120" s="249"/>
      <c r="DX120" s="297">
        <f t="shared" si="182"/>
        <v>0</v>
      </c>
      <c r="DY120" s="303" t="e">
        <f>DX120/DX117</f>
        <v>#DIV/0!</v>
      </c>
      <c r="DZ120" s="249"/>
      <c r="EA120" s="249"/>
      <c r="EB120" s="249"/>
      <c r="EC120" s="249"/>
      <c r="ED120" s="249"/>
      <c r="EE120" s="297">
        <f t="shared" si="183"/>
        <v>0</v>
      </c>
      <c r="EF120" s="303" t="e">
        <f>EE120/EE117</f>
        <v>#DIV/0!</v>
      </c>
      <c r="EG120" s="249"/>
      <c r="EH120" s="249"/>
      <c r="EI120" s="249"/>
      <c r="EJ120" s="249"/>
      <c r="EK120" s="249"/>
      <c r="EL120" s="297">
        <f t="shared" si="184"/>
        <v>0</v>
      </c>
      <c r="EM120" s="303" t="e">
        <f>EL120/EL117</f>
        <v>#DIV/0!</v>
      </c>
      <c r="EN120" s="249"/>
      <c r="EO120" s="249"/>
      <c r="EP120" s="249"/>
      <c r="EQ120" s="249"/>
      <c r="ER120" s="249"/>
      <c r="ES120" s="297">
        <f t="shared" si="185"/>
        <v>0</v>
      </c>
      <c r="ET120" s="303" t="e">
        <f>ES120/ES117</f>
        <v>#DIV/0!</v>
      </c>
      <c r="EU120" s="249"/>
      <c r="EV120" s="249"/>
      <c r="EW120" s="249"/>
      <c r="EX120" s="249"/>
      <c r="EY120" s="249"/>
      <c r="EZ120" s="297">
        <f t="shared" si="186"/>
        <v>0</v>
      </c>
      <c r="FA120" s="303" t="e">
        <f>EZ120/EZ117</f>
        <v>#DIV/0!</v>
      </c>
      <c r="FB120" s="249"/>
      <c r="FC120" s="249"/>
      <c r="FD120" s="249"/>
      <c r="FE120" s="249"/>
      <c r="FF120" s="249"/>
      <c r="FG120" s="297">
        <f t="shared" si="187"/>
        <v>0</v>
      </c>
      <c r="FH120" s="303" t="e">
        <f>FG120/FG117</f>
        <v>#DIV/0!</v>
      </c>
      <c r="FI120" s="249"/>
      <c r="FJ120" s="249"/>
      <c r="FK120" s="249"/>
      <c r="FL120" s="249"/>
      <c r="FM120" s="249"/>
      <c r="FN120" s="297">
        <f t="shared" si="188"/>
        <v>0</v>
      </c>
      <c r="FO120" s="303" t="e">
        <f>FN120/FN117</f>
        <v>#DIV/0!</v>
      </c>
      <c r="FP120" s="249"/>
      <c r="FQ120" s="249"/>
      <c r="FR120" s="249"/>
      <c r="FS120" s="249"/>
      <c r="FT120" s="249"/>
      <c r="FU120" s="297">
        <f t="shared" si="189"/>
        <v>0</v>
      </c>
      <c r="FV120" s="303" t="e">
        <f>FU120/FU117</f>
        <v>#DIV/0!</v>
      </c>
      <c r="FW120" s="249"/>
      <c r="FX120" s="249"/>
      <c r="FY120" s="249"/>
      <c r="FZ120" s="249"/>
      <c r="GA120" s="249"/>
    </row>
    <row r="121" spans="1:183" ht="12.75">
      <c r="A121" s="304" t="s">
        <v>261</v>
      </c>
      <c r="B121" s="297">
        <f t="shared" si="164"/>
        <v>0</v>
      </c>
      <c r="C121" s="303" t="e">
        <f>B121/B117</f>
        <v>#DIV/0!</v>
      </c>
      <c r="D121" s="249"/>
      <c r="E121" s="249"/>
      <c r="F121" s="249"/>
      <c r="G121" s="249"/>
      <c r="H121" s="249"/>
      <c r="I121" s="297">
        <f t="shared" si="165"/>
        <v>0</v>
      </c>
      <c r="J121" s="303" t="e">
        <f>I121/I117</f>
        <v>#DIV/0!</v>
      </c>
      <c r="K121" s="249"/>
      <c r="L121" s="249"/>
      <c r="M121" s="249"/>
      <c r="N121" s="249"/>
      <c r="O121" s="249"/>
      <c r="P121" s="297">
        <f t="shared" si="166"/>
        <v>0</v>
      </c>
      <c r="Q121" s="303" t="e">
        <f>P121/P117</f>
        <v>#DIV/0!</v>
      </c>
      <c r="R121" s="249"/>
      <c r="S121" s="249"/>
      <c r="T121" s="249"/>
      <c r="U121" s="249"/>
      <c r="V121" s="249"/>
      <c r="W121" s="297">
        <f t="shared" si="167"/>
        <v>0</v>
      </c>
      <c r="X121" s="303" t="e">
        <f>W121/W117</f>
        <v>#DIV/0!</v>
      </c>
      <c r="Y121" s="249"/>
      <c r="Z121" s="249"/>
      <c r="AA121" s="249"/>
      <c r="AB121" s="249"/>
      <c r="AC121" s="249"/>
      <c r="AD121" s="297">
        <f t="shared" si="168"/>
        <v>0</v>
      </c>
      <c r="AE121" s="303" t="e">
        <f>AD121/AD117</f>
        <v>#DIV/0!</v>
      </c>
      <c r="AF121" s="249"/>
      <c r="AG121" s="249"/>
      <c r="AH121" s="249"/>
      <c r="AI121" s="249"/>
      <c r="AJ121" s="249"/>
      <c r="AK121" s="297">
        <f t="shared" si="169"/>
        <v>0</v>
      </c>
      <c r="AL121" s="303" t="e">
        <f>AK121/AK117</f>
        <v>#DIV/0!</v>
      </c>
      <c r="AM121" s="249"/>
      <c r="AN121" s="249"/>
      <c r="AO121" s="249"/>
      <c r="AP121" s="249"/>
      <c r="AQ121" s="249"/>
      <c r="AR121" s="297">
        <f t="shared" si="170"/>
        <v>0</v>
      </c>
      <c r="AS121" s="303" t="e">
        <f>AR121/AR117</f>
        <v>#DIV/0!</v>
      </c>
      <c r="AT121" s="249"/>
      <c r="AU121" s="249"/>
      <c r="AV121" s="249"/>
      <c r="AW121" s="249"/>
      <c r="AX121" s="249"/>
      <c r="AY121" s="297">
        <f t="shared" si="171"/>
        <v>0</v>
      </c>
      <c r="AZ121" s="303" t="e">
        <f>AY121/AY117</f>
        <v>#DIV/0!</v>
      </c>
      <c r="BA121" s="249"/>
      <c r="BB121" s="249"/>
      <c r="BC121" s="249"/>
      <c r="BD121" s="249"/>
      <c r="BE121" s="249"/>
      <c r="BF121" s="297">
        <f t="shared" si="172"/>
        <v>0</v>
      </c>
      <c r="BG121" s="303" t="e">
        <f>BF121/BF117</f>
        <v>#DIV/0!</v>
      </c>
      <c r="BH121" s="249"/>
      <c r="BI121" s="249"/>
      <c r="BJ121" s="249"/>
      <c r="BK121" s="249"/>
      <c r="BL121" s="249"/>
      <c r="BM121" s="297">
        <f t="shared" si="173"/>
        <v>0</v>
      </c>
      <c r="BN121" s="303" t="e">
        <f>BM121/BM117</f>
        <v>#DIV/0!</v>
      </c>
      <c r="BO121" s="249"/>
      <c r="BP121" s="249"/>
      <c r="BQ121" s="249"/>
      <c r="BR121" s="249"/>
      <c r="BS121" s="249"/>
      <c r="BT121" s="297">
        <f t="shared" si="174"/>
        <v>0</v>
      </c>
      <c r="BU121" s="303" t="e">
        <f>BT121/BT117</f>
        <v>#DIV/0!</v>
      </c>
      <c r="BV121" s="249"/>
      <c r="BW121" s="249"/>
      <c r="BX121" s="249"/>
      <c r="BY121" s="249"/>
      <c r="BZ121" s="249"/>
      <c r="CA121" s="297">
        <f t="shared" si="175"/>
        <v>0</v>
      </c>
      <c r="CB121" s="303" t="e">
        <f>CA121/CA117</f>
        <v>#DIV/0!</v>
      </c>
      <c r="CC121" s="249"/>
      <c r="CD121" s="249"/>
      <c r="CE121" s="249"/>
      <c r="CF121" s="249"/>
      <c r="CG121" s="249"/>
      <c r="CH121" s="297">
        <f t="shared" si="176"/>
        <v>0</v>
      </c>
      <c r="CI121" s="303" t="e">
        <f>CH121/CH117</f>
        <v>#DIV/0!</v>
      </c>
      <c r="CJ121" s="249"/>
      <c r="CK121" s="249"/>
      <c r="CL121" s="249"/>
      <c r="CM121" s="249"/>
      <c r="CN121" s="249"/>
      <c r="CO121" s="297">
        <f t="shared" si="177"/>
        <v>0</v>
      </c>
      <c r="CP121" s="303" t="e">
        <f>CO121/CO117</f>
        <v>#DIV/0!</v>
      </c>
      <c r="CQ121" s="249"/>
      <c r="CR121" s="249"/>
      <c r="CS121" s="249"/>
      <c r="CT121" s="249"/>
      <c r="CU121" s="249"/>
      <c r="CV121" s="297">
        <f t="shared" si="178"/>
        <v>0</v>
      </c>
      <c r="CW121" s="303" t="e">
        <f>CV121/CV117</f>
        <v>#DIV/0!</v>
      </c>
      <c r="CX121" s="249"/>
      <c r="CY121" s="249"/>
      <c r="CZ121" s="249"/>
      <c r="DA121" s="249"/>
      <c r="DB121" s="249"/>
      <c r="DC121" s="297">
        <f t="shared" si="179"/>
        <v>0</v>
      </c>
      <c r="DD121" s="303" t="e">
        <f>DC121/DC117</f>
        <v>#DIV/0!</v>
      </c>
      <c r="DE121" s="249"/>
      <c r="DF121" s="249"/>
      <c r="DG121" s="249"/>
      <c r="DH121" s="249"/>
      <c r="DI121" s="249"/>
      <c r="DJ121" s="297">
        <f t="shared" si="180"/>
        <v>0</v>
      </c>
      <c r="DK121" s="303" t="e">
        <f>DJ121/DJ117</f>
        <v>#DIV/0!</v>
      </c>
      <c r="DL121" s="249"/>
      <c r="DM121" s="249"/>
      <c r="DN121" s="249"/>
      <c r="DO121" s="249"/>
      <c r="DP121" s="249"/>
      <c r="DQ121" s="297">
        <f t="shared" si="181"/>
        <v>0</v>
      </c>
      <c r="DR121" s="303" t="e">
        <f>DQ121/DQ117</f>
        <v>#DIV/0!</v>
      </c>
      <c r="DS121" s="249"/>
      <c r="DT121" s="249"/>
      <c r="DU121" s="249"/>
      <c r="DV121" s="249"/>
      <c r="DW121" s="249"/>
      <c r="DX121" s="297">
        <f t="shared" si="182"/>
        <v>0</v>
      </c>
      <c r="DY121" s="303" t="e">
        <f>DX121/DX117</f>
        <v>#DIV/0!</v>
      </c>
      <c r="DZ121" s="249"/>
      <c r="EA121" s="249"/>
      <c r="EB121" s="249"/>
      <c r="EC121" s="249"/>
      <c r="ED121" s="249"/>
      <c r="EE121" s="297">
        <f t="shared" si="183"/>
        <v>0</v>
      </c>
      <c r="EF121" s="303" t="e">
        <f>EE121/EE117</f>
        <v>#DIV/0!</v>
      </c>
      <c r="EG121" s="249"/>
      <c r="EH121" s="249"/>
      <c r="EI121" s="249"/>
      <c r="EJ121" s="249"/>
      <c r="EK121" s="249"/>
      <c r="EL121" s="297">
        <f t="shared" si="184"/>
        <v>0</v>
      </c>
      <c r="EM121" s="303" t="e">
        <f>EL121/EL117</f>
        <v>#DIV/0!</v>
      </c>
      <c r="EN121" s="249"/>
      <c r="EO121" s="249"/>
      <c r="EP121" s="249"/>
      <c r="EQ121" s="249"/>
      <c r="ER121" s="249"/>
      <c r="ES121" s="297">
        <f t="shared" si="185"/>
        <v>0</v>
      </c>
      <c r="ET121" s="303" t="e">
        <f>ES121/ES117</f>
        <v>#DIV/0!</v>
      </c>
      <c r="EU121" s="249"/>
      <c r="EV121" s="249"/>
      <c r="EW121" s="249"/>
      <c r="EX121" s="249"/>
      <c r="EY121" s="249"/>
      <c r="EZ121" s="297">
        <f t="shared" si="186"/>
        <v>0</v>
      </c>
      <c r="FA121" s="303" t="e">
        <f>EZ121/EZ117</f>
        <v>#DIV/0!</v>
      </c>
      <c r="FB121" s="249"/>
      <c r="FC121" s="249"/>
      <c r="FD121" s="249"/>
      <c r="FE121" s="249"/>
      <c r="FF121" s="249"/>
      <c r="FG121" s="297">
        <f t="shared" si="187"/>
        <v>0</v>
      </c>
      <c r="FH121" s="303" t="e">
        <f>FG121/FG117</f>
        <v>#DIV/0!</v>
      </c>
      <c r="FI121" s="249"/>
      <c r="FJ121" s="249"/>
      <c r="FK121" s="249"/>
      <c r="FL121" s="249"/>
      <c r="FM121" s="249"/>
      <c r="FN121" s="297">
        <f t="shared" si="188"/>
        <v>0</v>
      </c>
      <c r="FO121" s="303" t="e">
        <f>FN121/FN117</f>
        <v>#DIV/0!</v>
      </c>
      <c r="FP121" s="249"/>
      <c r="FQ121" s="249"/>
      <c r="FR121" s="249"/>
      <c r="FS121" s="249"/>
      <c r="FT121" s="249"/>
      <c r="FU121" s="297">
        <f t="shared" si="189"/>
        <v>0</v>
      </c>
      <c r="FV121" s="303" t="e">
        <f>FU121/FU117</f>
        <v>#DIV/0!</v>
      </c>
      <c r="FW121" s="249"/>
      <c r="FX121" s="249"/>
      <c r="FY121" s="249"/>
      <c r="FZ121" s="249"/>
      <c r="GA121" s="249"/>
    </row>
    <row r="122" spans="1:183" ht="12.75">
      <c r="A122" s="304" t="s">
        <v>281</v>
      </c>
      <c r="B122" s="297">
        <f t="shared" si="164"/>
        <v>0</v>
      </c>
      <c r="C122" s="303" t="e">
        <f>B122/B117</f>
        <v>#DIV/0!</v>
      </c>
      <c r="D122" s="249"/>
      <c r="E122" s="249"/>
      <c r="F122" s="249"/>
      <c r="G122" s="249"/>
      <c r="H122" s="249"/>
      <c r="I122" s="297">
        <f t="shared" si="165"/>
        <v>0</v>
      </c>
      <c r="J122" s="303" t="e">
        <f>I122/I117</f>
        <v>#DIV/0!</v>
      </c>
      <c r="K122" s="249"/>
      <c r="L122" s="249"/>
      <c r="M122" s="249"/>
      <c r="N122" s="249"/>
      <c r="O122" s="249"/>
      <c r="P122" s="297">
        <f t="shared" si="166"/>
        <v>0</v>
      </c>
      <c r="Q122" s="303" t="e">
        <f>P122/P117</f>
        <v>#DIV/0!</v>
      </c>
      <c r="R122" s="249"/>
      <c r="S122" s="249"/>
      <c r="T122" s="249"/>
      <c r="U122" s="249"/>
      <c r="V122" s="249"/>
      <c r="W122" s="297">
        <f t="shared" si="167"/>
        <v>0</v>
      </c>
      <c r="X122" s="303" t="e">
        <f>W122/W117</f>
        <v>#DIV/0!</v>
      </c>
      <c r="Y122" s="249"/>
      <c r="Z122" s="249"/>
      <c r="AA122" s="249"/>
      <c r="AB122" s="249"/>
      <c r="AC122" s="249"/>
      <c r="AD122" s="297">
        <f t="shared" si="168"/>
        <v>0</v>
      </c>
      <c r="AE122" s="303" t="e">
        <f>AD122/AD117</f>
        <v>#DIV/0!</v>
      </c>
      <c r="AF122" s="249"/>
      <c r="AG122" s="249"/>
      <c r="AH122" s="249"/>
      <c r="AI122" s="249"/>
      <c r="AJ122" s="249"/>
      <c r="AK122" s="297">
        <f t="shared" si="169"/>
        <v>0</v>
      </c>
      <c r="AL122" s="303" t="e">
        <f>AK122/AK117</f>
        <v>#DIV/0!</v>
      </c>
      <c r="AM122" s="249"/>
      <c r="AN122" s="249"/>
      <c r="AO122" s="249"/>
      <c r="AP122" s="249"/>
      <c r="AQ122" s="249"/>
      <c r="AR122" s="297">
        <f t="shared" si="170"/>
        <v>0</v>
      </c>
      <c r="AS122" s="303" t="e">
        <f>AR122/AR117</f>
        <v>#DIV/0!</v>
      </c>
      <c r="AT122" s="249"/>
      <c r="AU122" s="249"/>
      <c r="AV122" s="249"/>
      <c r="AW122" s="249"/>
      <c r="AX122" s="249"/>
      <c r="AY122" s="297">
        <f t="shared" si="171"/>
        <v>0</v>
      </c>
      <c r="AZ122" s="303" t="e">
        <f>AY122/AY117</f>
        <v>#DIV/0!</v>
      </c>
      <c r="BA122" s="249"/>
      <c r="BB122" s="249"/>
      <c r="BC122" s="249"/>
      <c r="BD122" s="249"/>
      <c r="BE122" s="249"/>
      <c r="BF122" s="297">
        <f t="shared" si="172"/>
        <v>0</v>
      </c>
      <c r="BG122" s="303" t="e">
        <f>BF122/BF117</f>
        <v>#DIV/0!</v>
      </c>
      <c r="BH122" s="249"/>
      <c r="BI122" s="249"/>
      <c r="BJ122" s="249"/>
      <c r="BK122" s="249"/>
      <c r="BL122" s="249"/>
      <c r="BM122" s="297">
        <f t="shared" si="173"/>
        <v>0</v>
      </c>
      <c r="BN122" s="303" t="e">
        <f>BM122/BM117</f>
        <v>#DIV/0!</v>
      </c>
      <c r="BO122" s="249"/>
      <c r="BP122" s="249"/>
      <c r="BQ122" s="249"/>
      <c r="BR122" s="249"/>
      <c r="BS122" s="249"/>
      <c r="BT122" s="297">
        <f t="shared" si="174"/>
        <v>0</v>
      </c>
      <c r="BU122" s="303" t="e">
        <f>BT122/BT117</f>
        <v>#DIV/0!</v>
      </c>
      <c r="BV122" s="249"/>
      <c r="BW122" s="249"/>
      <c r="BX122" s="249"/>
      <c r="BY122" s="249"/>
      <c r="BZ122" s="249"/>
      <c r="CA122" s="297">
        <f t="shared" si="175"/>
        <v>0</v>
      </c>
      <c r="CB122" s="303" t="e">
        <f>CA122/CA117</f>
        <v>#DIV/0!</v>
      </c>
      <c r="CC122" s="249"/>
      <c r="CD122" s="249"/>
      <c r="CE122" s="249"/>
      <c r="CF122" s="249"/>
      <c r="CG122" s="249"/>
      <c r="CH122" s="297">
        <f t="shared" si="176"/>
        <v>0</v>
      </c>
      <c r="CI122" s="303" t="e">
        <f>CH122/CH117</f>
        <v>#DIV/0!</v>
      </c>
      <c r="CJ122" s="249"/>
      <c r="CK122" s="249"/>
      <c r="CL122" s="249"/>
      <c r="CM122" s="249"/>
      <c r="CN122" s="249"/>
      <c r="CO122" s="297">
        <f t="shared" si="177"/>
        <v>0</v>
      </c>
      <c r="CP122" s="303" t="e">
        <f>CO122/CO117</f>
        <v>#DIV/0!</v>
      </c>
      <c r="CQ122" s="249"/>
      <c r="CR122" s="249"/>
      <c r="CS122" s="249"/>
      <c r="CT122" s="249"/>
      <c r="CU122" s="249"/>
      <c r="CV122" s="297">
        <f t="shared" si="178"/>
        <v>0</v>
      </c>
      <c r="CW122" s="303" t="e">
        <f>CV122/CV117</f>
        <v>#DIV/0!</v>
      </c>
      <c r="CX122" s="249"/>
      <c r="CY122" s="249"/>
      <c r="CZ122" s="249"/>
      <c r="DA122" s="249"/>
      <c r="DB122" s="249"/>
      <c r="DC122" s="297">
        <f t="shared" si="179"/>
        <v>0</v>
      </c>
      <c r="DD122" s="303" t="e">
        <f>DC122/DC117</f>
        <v>#DIV/0!</v>
      </c>
      <c r="DE122" s="249"/>
      <c r="DF122" s="249"/>
      <c r="DG122" s="249"/>
      <c r="DH122" s="249"/>
      <c r="DI122" s="249"/>
      <c r="DJ122" s="297">
        <f t="shared" si="180"/>
        <v>0</v>
      </c>
      <c r="DK122" s="303" t="e">
        <f>DJ122/DJ117</f>
        <v>#DIV/0!</v>
      </c>
      <c r="DL122" s="249"/>
      <c r="DM122" s="249"/>
      <c r="DN122" s="249"/>
      <c r="DO122" s="249"/>
      <c r="DP122" s="249"/>
      <c r="DQ122" s="297">
        <f t="shared" si="181"/>
        <v>0</v>
      </c>
      <c r="DR122" s="303" t="e">
        <f>DQ122/DQ117</f>
        <v>#DIV/0!</v>
      </c>
      <c r="DS122" s="249"/>
      <c r="DT122" s="249"/>
      <c r="DU122" s="249"/>
      <c r="DV122" s="249"/>
      <c r="DW122" s="249"/>
      <c r="DX122" s="297">
        <f t="shared" si="182"/>
        <v>0</v>
      </c>
      <c r="DY122" s="303" t="e">
        <f>DX122/DX117</f>
        <v>#DIV/0!</v>
      </c>
      <c r="DZ122" s="249"/>
      <c r="EA122" s="249"/>
      <c r="EB122" s="249"/>
      <c r="EC122" s="249"/>
      <c r="ED122" s="249"/>
      <c r="EE122" s="297">
        <f t="shared" si="183"/>
        <v>0</v>
      </c>
      <c r="EF122" s="303" t="e">
        <f>EE122/EE117</f>
        <v>#DIV/0!</v>
      </c>
      <c r="EG122" s="249"/>
      <c r="EH122" s="249"/>
      <c r="EI122" s="249"/>
      <c r="EJ122" s="249"/>
      <c r="EK122" s="249"/>
      <c r="EL122" s="297">
        <f t="shared" si="184"/>
        <v>0</v>
      </c>
      <c r="EM122" s="303" t="e">
        <f>EL122/EL117</f>
        <v>#DIV/0!</v>
      </c>
      <c r="EN122" s="249"/>
      <c r="EO122" s="249"/>
      <c r="EP122" s="249"/>
      <c r="EQ122" s="249"/>
      <c r="ER122" s="249"/>
      <c r="ES122" s="297">
        <f t="shared" si="185"/>
        <v>0</v>
      </c>
      <c r="ET122" s="303" t="e">
        <f>ES122/ES117</f>
        <v>#DIV/0!</v>
      </c>
      <c r="EU122" s="249"/>
      <c r="EV122" s="249"/>
      <c r="EW122" s="249"/>
      <c r="EX122" s="249"/>
      <c r="EY122" s="249"/>
      <c r="EZ122" s="297">
        <f t="shared" si="186"/>
        <v>0</v>
      </c>
      <c r="FA122" s="303" t="e">
        <f>EZ122/EZ117</f>
        <v>#DIV/0!</v>
      </c>
      <c r="FB122" s="249"/>
      <c r="FC122" s="249"/>
      <c r="FD122" s="249"/>
      <c r="FE122" s="249"/>
      <c r="FF122" s="249"/>
      <c r="FG122" s="297">
        <f t="shared" si="187"/>
        <v>0</v>
      </c>
      <c r="FH122" s="303" t="e">
        <f>FG122/FG117</f>
        <v>#DIV/0!</v>
      </c>
      <c r="FI122" s="249"/>
      <c r="FJ122" s="249"/>
      <c r="FK122" s="249"/>
      <c r="FL122" s="249"/>
      <c r="FM122" s="249"/>
      <c r="FN122" s="297">
        <f t="shared" si="188"/>
        <v>0</v>
      </c>
      <c r="FO122" s="303" t="e">
        <f>FN122/FN117</f>
        <v>#DIV/0!</v>
      </c>
      <c r="FP122" s="249"/>
      <c r="FQ122" s="249"/>
      <c r="FR122" s="249"/>
      <c r="FS122" s="249"/>
      <c r="FT122" s="249"/>
      <c r="FU122" s="297">
        <f t="shared" si="189"/>
        <v>0</v>
      </c>
      <c r="FV122" s="303" t="e">
        <f>FU122/FU117</f>
        <v>#DIV/0!</v>
      </c>
      <c r="FW122" s="249"/>
      <c r="FX122" s="249"/>
      <c r="FY122" s="249"/>
      <c r="FZ122" s="249"/>
      <c r="GA122" s="249"/>
    </row>
    <row r="123" spans="1:183" ht="12.75">
      <c r="A123" s="305" t="s">
        <v>262</v>
      </c>
      <c r="B123" s="297">
        <f t="shared" si="164"/>
        <v>0</v>
      </c>
      <c r="C123" s="303" t="e">
        <f>B123/B117</f>
        <v>#DIV/0!</v>
      </c>
      <c r="D123" s="249"/>
      <c r="E123" s="249"/>
      <c r="F123" s="249"/>
      <c r="G123" s="249"/>
      <c r="H123" s="249"/>
      <c r="I123" s="297">
        <f t="shared" si="165"/>
        <v>0</v>
      </c>
      <c r="J123" s="303" t="e">
        <f>I123/I117</f>
        <v>#DIV/0!</v>
      </c>
      <c r="K123" s="249"/>
      <c r="L123" s="249"/>
      <c r="M123" s="249"/>
      <c r="N123" s="249"/>
      <c r="O123" s="249"/>
      <c r="P123" s="297">
        <f t="shared" si="166"/>
        <v>0</v>
      </c>
      <c r="Q123" s="303" t="e">
        <f>P123/P117</f>
        <v>#DIV/0!</v>
      </c>
      <c r="R123" s="249"/>
      <c r="S123" s="249"/>
      <c r="T123" s="249"/>
      <c r="U123" s="249"/>
      <c r="V123" s="249"/>
      <c r="W123" s="297">
        <f t="shared" si="167"/>
        <v>0</v>
      </c>
      <c r="X123" s="303" t="e">
        <f>W123/W117</f>
        <v>#DIV/0!</v>
      </c>
      <c r="Y123" s="249"/>
      <c r="Z123" s="249"/>
      <c r="AA123" s="249"/>
      <c r="AB123" s="249"/>
      <c r="AC123" s="249"/>
      <c r="AD123" s="297">
        <f t="shared" si="168"/>
        <v>0</v>
      </c>
      <c r="AE123" s="303" t="e">
        <f>AD123/AD117</f>
        <v>#DIV/0!</v>
      </c>
      <c r="AF123" s="249"/>
      <c r="AG123" s="249"/>
      <c r="AH123" s="249"/>
      <c r="AI123" s="249"/>
      <c r="AJ123" s="249"/>
      <c r="AK123" s="297">
        <f t="shared" si="169"/>
        <v>0</v>
      </c>
      <c r="AL123" s="303" t="e">
        <f>AK123/AK117</f>
        <v>#DIV/0!</v>
      </c>
      <c r="AM123" s="249"/>
      <c r="AN123" s="249"/>
      <c r="AO123" s="249"/>
      <c r="AP123" s="249"/>
      <c r="AQ123" s="249"/>
      <c r="AR123" s="297">
        <f t="shared" si="170"/>
        <v>0</v>
      </c>
      <c r="AS123" s="303" t="e">
        <f>AR123/AR117</f>
        <v>#DIV/0!</v>
      </c>
      <c r="AT123" s="249"/>
      <c r="AU123" s="249"/>
      <c r="AV123" s="249"/>
      <c r="AW123" s="249"/>
      <c r="AX123" s="249"/>
      <c r="AY123" s="297">
        <f t="shared" si="171"/>
        <v>0</v>
      </c>
      <c r="AZ123" s="303" t="e">
        <f>AY123/AY117</f>
        <v>#DIV/0!</v>
      </c>
      <c r="BA123" s="249"/>
      <c r="BB123" s="249"/>
      <c r="BC123" s="249"/>
      <c r="BD123" s="249"/>
      <c r="BE123" s="249"/>
      <c r="BF123" s="297">
        <f t="shared" si="172"/>
        <v>0</v>
      </c>
      <c r="BG123" s="303" t="e">
        <f>BF123/BF117</f>
        <v>#DIV/0!</v>
      </c>
      <c r="BH123" s="249"/>
      <c r="BI123" s="249"/>
      <c r="BJ123" s="249"/>
      <c r="BK123" s="249"/>
      <c r="BL123" s="249"/>
      <c r="BM123" s="297">
        <f t="shared" si="173"/>
        <v>0</v>
      </c>
      <c r="BN123" s="303" t="e">
        <f>BM123/BM117</f>
        <v>#DIV/0!</v>
      </c>
      <c r="BO123" s="249"/>
      <c r="BP123" s="249"/>
      <c r="BQ123" s="249"/>
      <c r="BR123" s="249"/>
      <c r="BS123" s="249"/>
      <c r="BT123" s="297">
        <f t="shared" si="174"/>
        <v>0</v>
      </c>
      <c r="BU123" s="303" t="e">
        <f>BT123/BT117</f>
        <v>#DIV/0!</v>
      </c>
      <c r="BV123" s="249"/>
      <c r="BW123" s="249"/>
      <c r="BX123" s="249"/>
      <c r="BY123" s="249"/>
      <c r="BZ123" s="249"/>
      <c r="CA123" s="297">
        <f t="shared" si="175"/>
        <v>0</v>
      </c>
      <c r="CB123" s="303" t="e">
        <f>CA123/CA117</f>
        <v>#DIV/0!</v>
      </c>
      <c r="CC123" s="249"/>
      <c r="CD123" s="249"/>
      <c r="CE123" s="249"/>
      <c r="CF123" s="249"/>
      <c r="CG123" s="249"/>
      <c r="CH123" s="297">
        <f t="shared" si="176"/>
        <v>0</v>
      </c>
      <c r="CI123" s="303" t="e">
        <f>CH123/CH117</f>
        <v>#DIV/0!</v>
      </c>
      <c r="CJ123" s="249"/>
      <c r="CK123" s="249"/>
      <c r="CL123" s="249"/>
      <c r="CM123" s="249"/>
      <c r="CN123" s="249"/>
      <c r="CO123" s="297">
        <f t="shared" si="177"/>
        <v>0</v>
      </c>
      <c r="CP123" s="303" t="e">
        <f>CO123/CO117</f>
        <v>#DIV/0!</v>
      </c>
      <c r="CQ123" s="249"/>
      <c r="CR123" s="249"/>
      <c r="CS123" s="249"/>
      <c r="CT123" s="249"/>
      <c r="CU123" s="249"/>
      <c r="CV123" s="297">
        <f t="shared" si="178"/>
        <v>0</v>
      </c>
      <c r="CW123" s="303" t="e">
        <f>CV123/CV117</f>
        <v>#DIV/0!</v>
      </c>
      <c r="CX123" s="249"/>
      <c r="CY123" s="249"/>
      <c r="CZ123" s="249"/>
      <c r="DA123" s="249"/>
      <c r="DB123" s="249"/>
      <c r="DC123" s="297">
        <f t="shared" si="179"/>
        <v>0</v>
      </c>
      <c r="DD123" s="303" t="e">
        <f>DC123/DC117</f>
        <v>#DIV/0!</v>
      </c>
      <c r="DE123" s="249"/>
      <c r="DF123" s="249"/>
      <c r="DG123" s="249"/>
      <c r="DH123" s="249"/>
      <c r="DI123" s="249"/>
      <c r="DJ123" s="297">
        <f t="shared" si="180"/>
        <v>0</v>
      </c>
      <c r="DK123" s="303" t="e">
        <f>DJ123/DJ117</f>
        <v>#DIV/0!</v>
      </c>
      <c r="DL123" s="249"/>
      <c r="DM123" s="249"/>
      <c r="DN123" s="249"/>
      <c r="DO123" s="249"/>
      <c r="DP123" s="249"/>
      <c r="DQ123" s="297">
        <f t="shared" si="181"/>
        <v>0</v>
      </c>
      <c r="DR123" s="303" t="e">
        <f>DQ123/DQ117</f>
        <v>#DIV/0!</v>
      </c>
      <c r="DS123" s="249"/>
      <c r="DT123" s="249"/>
      <c r="DU123" s="249"/>
      <c r="DV123" s="249"/>
      <c r="DW123" s="249"/>
      <c r="DX123" s="297">
        <f t="shared" si="182"/>
        <v>0</v>
      </c>
      <c r="DY123" s="303" t="e">
        <f>DX123/DX117</f>
        <v>#DIV/0!</v>
      </c>
      <c r="DZ123" s="249"/>
      <c r="EA123" s="249"/>
      <c r="EB123" s="249"/>
      <c r="EC123" s="249"/>
      <c r="ED123" s="249"/>
      <c r="EE123" s="297">
        <f t="shared" si="183"/>
        <v>0</v>
      </c>
      <c r="EF123" s="303" t="e">
        <f>EE123/EE117</f>
        <v>#DIV/0!</v>
      </c>
      <c r="EG123" s="249"/>
      <c r="EH123" s="249"/>
      <c r="EI123" s="249"/>
      <c r="EJ123" s="249"/>
      <c r="EK123" s="249"/>
      <c r="EL123" s="297">
        <f t="shared" si="184"/>
        <v>0</v>
      </c>
      <c r="EM123" s="303" t="e">
        <f>EL123/EL117</f>
        <v>#DIV/0!</v>
      </c>
      <c r="EN123" s="249"/>
      <c r="EO123" s="249"/>
      <c r="EP123" s="249"/>
      <c r="EQ123" s="249"/>
      <c r="ER123" s="249"/>
      <c r="ES123" s="297">
        <f t="shared" si="185"/>
        <v>0</v>
      </c>
      <c r="ET123" s="303" t="e">
        <f>ES123/ES117</f>
        <v>#DIV/0!</v>
      </c>
      <c r="EU123" s="249"/>
      <c r="EV123" s="249"/>
      <c r="EW123" s="249"/>
      <c r="EX123" s="249"/>
      <c r="EY123" s="249"/>
      <c r="EZ123" s="297">
        <f t="shared" si="186"/>
        <v>0</v>
      </c>
      <c r="FA123" s="303" t="e">
        <f>EZ123/EZ117</f>
        <v>#DIV/0!</v>
      </c>
      <c r="FB123" s="249"/>
      <c r="FC123" s="249"/>
      <c r="FD123" s="249"/>
      <c r="FE123" s="249"/>
      <c r="FF123" s="249"/>
      <c r="FG123" s="297">
        <f t="shared" si="187"/>
        <v>0</v>
      </c>
      <c r="FH123" s="303" t="e">
        <f>FG123/FG117</f>
        <v>#DIV/0!</v>
      </c>
      <c r="FI123" s="249"/>
      <c r="FJ123" s="249"/>
      <c r="FK123" s="249"/>
      <c r="FL123" s="249"/>
      <c r="FM123" s="249"/>
      <c r="FN123" s="297">
        <f t="shared" si="188"/>
        <v>0</v>
      </c>
      <c r="FO123" s="303" t="e">
        <f>FN123/FN117</f>
        <v>#DIV/0!</v>
      </c>
      <c r="FP123" s="249"/>
      <c r="FQ123" s="249"/>
      <c r="FR123" s="249"/>
      <c r="FS123" s="249"/>
      <c r="FT123" s="249"/>
      <c r="FU123" s="297">
        <f t="shared" si="189"/>
        <v>0</v>
      </c>
      <c r="FV123" s="303" t="e">
        <f>FU123/FU117</f>
        <v>#DIV/0!</v>
      </c>
      <c r="FW123" s="249"/>
      <c r="FX123" s="249"/>
      <c r="FY123" s="249"/>
      <c r="FZ123" s="249"/>
      <c r="GA123" s="249"/>
    </row>
    <row r="124" spans="1:183" ht="12.75">
      <c r="A124" s="306" t="s">
        <v>282</v>
      </c>
      <c r="B124" s="297">
        <f aca="true" t="shared" si="190" ref="B124:B130">SUM(B90:H90)</f>
        <v>0</v>
      </c>
      <c r="C124" s="303">
        <v>1</v>
      </c>
      <c r="D124" s="249"/>
      <c r="E124" s="249"/>
      <c r="F124" s="249"/>
      <c r="G124" s="249"/>
      <c r="H124" s="249"/>
      <c r="I124" s="297">
        <f aca="true" t="shared" si="191" ref="I124:I130">SUM(I90:O90)</f>
        <v>0</v>
      </c>
      <c r="J124" s="303">
        <v>1</v>
      </c>
      <c r="K124" s="249"/>
      <c r="L124" s="249"/>
      <c r="M124" s="249"/>
      <c r="N124" s="249"/>
      <c r="O124" s="249"/>
      <c r="P124" s="297">
        <f aca="true" t="shared" si="192" ref="P124:P130">SUM(P90:V90)</f>
        <v>0</v>
      </c>
      <c r="Q124" s="303">
        <v>1</v>
      </c>
      <c r="R124" s="249"/>
      <c r="S124" s="249"/>
      <c r="T124" s="249"/>
      <c r="U124" s="249"/>
      <c r="V124" s="249"/>
      <c r="W124" s="297">
        <f aca="true" t="shared" si="193" ref="W124:W130">SUM(W90:AC90)</f>
        <v>0</v>
      </c>
      <c r="X124" s="303">
        <v>1</v>
      </c>
      <c r="Y124" s="249"/>
      <c r="Z124" s="249"/>
      <c r="AA124" s="249"/>
      <c r="AB124" s="249"/>
      <c r="AC124" s="249"/>
      <c r="AD124" s="297">
        <f aca="true" t="shared" si="194" ref="AD124:AD130">SUM(AD90:AJ90)</f>
        <v>0</v>
      </c>
      <c r="AE124" s="303">
        <v>1</v>
      </c>
      <c r="AF124" s="249"/>
      <c r="AG124" s="249"/>
      <c r="AH124" s="249"/>
      <c r="AI124" s="249"/>
      <c r="AJ124" s="249"/>
      <c r="AK124" s="297">
        <f aca="true" t="shared" si="195" ref="AK124:AK130">SUM(AK90:AQ90)</f>
        <v>0</v>
      </c>
      <c r="AL124" s="303">
        <v>1</v>
      </c>
      <c r="AM124" s="249"/>
      <c r="AN124" s="249"/>
      <c r="AO124" s="249"/>
      <c r="AP124" s="249"/>
      <c r="AQ124" s="249"/>
      <c r="AR124" s="297">
        <f aca="true" t="shared" si="196" ref="AR124:AR130">SUM(AR90:AX90)</f>
        <v>0</v>
      </c>
      <c r="AS124" s="303">
        <v>1</v>
      </c>
      <c r="AT124" s="249"/>
      <c r="AU124" s="249"/>
      <c r="AV124" s="249"/>
      <c r="AW124" s="249"/>
      <c r="AX124" s="249"/>
      <c r="AY124" s="297">
        <f aca="true" t="shared" si="197" ref="AY124:AY130">SUM(AY90:BE90)</f>
        <v>0</v>
      </c>
      <c r="AZ124" s="303">
        <v>1</v>
      </c>
      <c r="BA124" s="249"/>
      <c r="BB124" s="249"/>
      <c r="BC124" s="249"/>
      <c r="BD124" s="249"/>
      <c r="BE124" s="249"/>
      <c r="BF124" s="297">
        <f aca="true" t="shared" si="198" ref="BF124:BF130">SUM(BF90:BL90)</f>
        <v>0</v>
      </c>
      <c r="BG124" s="303">
        <v>1</v>
      </c>
      <c r="BH124" s="249"/>
      <c r="BI124" s="249"/>
      <c r="BJ124" s="249"/>
      <c r="BK124" s="249"/>
      <c r="BL124" s="249"/>
      <c r="BM124" s="297">
        <f aca="true" t="shared" si="199" ref="BM124:BM130">SUM(BM90:BS90)</f>
        <v>0</v>
      </c>
      <c r="BN124" s="303">
        <v>1</v>
      </c>
      <c r="BO124" s="249"/>
      <c r="BP124" s="249"/>
      <c r="BQ124" s="249"/>
      <c r="BR124" s="249"/>
      <c r="BS124" s="249"/>
      <c r="BT124" s="297">
        <f aca="true" t="shared" si="200" ref="BT124:BT130">SUM(BT90:BZ90)</f>
        <v>0</v>
      </c>
      <c r="BU124" s="303">
        <v>1</v>
      </c>
      <c r="BV124" s="249"/>
      <c r="BW124" s="249"/>
      <c r="BX124" s="249"/>
      <c r="BY124" s="249"/>
      <c r="BZ124" s="249"/>
      <c r="CA124" s="297">
        <f aca="true" t="shared" si="201" ref="CA124:CA130">SUM(CA90:CG90)</f>
        <v>0</v>
      </c>
      <c r="CB124" s="303">
        <v>1</v>
      </c>
      <c r="CC124" s="249"/>
      <c r="CD124" s="249"/>
      <c r="CE124" s="249"/>
      <c r="CF124" s="249"/>
      <c r="CG124" s="249"/>
      <c r="CH124" s="297">
        <f aca="true" t="shared" si="202" ref="CH124:CH130">SUM(CH90:CN90)</f>
        <v>0</v>
      </c>
      <c r="CI124" s="303">
        <v>1</v>
      </c>
      <c r="CJ124" s="249"/>
      <c r="CK124" s="249"/>
      <c r="CL124" s="249"/>
      <c r="CM124" s="249"/>
      <c r="CN124" s="249"/>
      <c r="CO124" s="297">
        <f aca="true" t="shared" si="203" ref="CO124:CO130">SUM(CO90:CU90)</f>
        <v>0</v>
      </c>
      <c r="CP124" s="303">
        <v>1</v>
      </c>
      <c r="CQ124" s="249"/>
      <c r="CR124" s="249"/>
      <c r="CS124" s="249"/>
      <c r="CT124" s="249"/>
      <c r="CU124" s="249"/>
      <c r="CV124" s="297">
        <f aca="true" t="shared" si="204" ref="CV124:CV130">SUM(CV90:DB90)</f>
        <v>0</v>
      </c>
      <c r="CW124" s="303">
        <v>1</v>
      </c>
      <c r="CX124" s="249"/>
      <c r="CY124" s="249"/>
      <c r="CZ124" s="249"/>
      <c r="DA124" s="249"/>
      <c r="DB124" s="249"/>
      <c r="DC124" s="297">
        <f aca="true" t="shared" si="205" ref="DC124:DC130">SUM(DC90:DI90)</f>
        <v>0</v>
      </c>
      <c r="DD124" s="303">
        <v>1</v>
      </c>
      <c r="DE124" s="249"/>
      <c r="DF124" s="249"/>
      <c r="DG124" s="249"/>
      <c r="DH124" s="249"/>
      <c r="DI124" s="249"/>
      <c r="DJ124" s="297">
        <f aca="true" t="shared" si="206" ref="DJ124:DJ130">SUM(DJ90:DP90)</f>
        <v>0</v>
      </c>
      <c r="DK124" s="303">
        <v>1</v>
      </c>
      <c r="DL124" s="249"/>
      <c r="DM124" s="249"/>
      <c r="DN124" s="249"/>
      <c r="DO124" s="249"/>
      <c r="DP124" s="249"/>
      <c r="DQ124" s="297">
        <f aca="true" t="shared" si="207" ref="DQ124:DQ130">SUM(DQ90:DW90)</f>
        <v>0</v>
      </c>
      <c r="DR124" s="303">
        <v>1</v>
      </c>
      <c r="DS124" s="249"/>
      <c r="DT124" s="249"/>
      <c r="DU124" s="249"/>
      <c r="DV124" s="249"/>
      <c r="DW124" s="249"/>
      <c r="DX124" s="297">
        <f aca="true" t="shared" si="208" ref="DX124:DX130">SUM(DX90:ED90)</f>
        <v>0</v>
      </c>
      <c r="DY124" s="303">
        <v>1</v>
      </c>
      <c r="DZ124" s="249"/>
      <c r="EA124" s="249"/>
      <c r="EB124" s="249"/>
      <c r="EC124" s="249"/>
      <c r="ED124" s="249"/>
      <c r="EE124" s="297">
        <f aca="true" t="shared" si="209" ref="EE124:EE130">SUM(EE90:EK90)</f>
        <v>0</v>
      </c>
      <c r="EF124" s="303">
        <v>1</v>
      </c>
      <c r="EG124" s="249"/>
      <c r="EH124" s="249"/>
      <c r="EI124" s="249"/>
      <c r="EJ124" s="249"/>
      <c r="EK124" s="249"/>
      <c r="EL124" s="297">
        <f aca="true" t="shared" si="210" ref="EL124:EL130">SUM(EL90:ER90)</f>
        <v>0</v>
      </c>
      <c r="EM124" s="303">
        <v>1</v>
      </c>
      <c r="EN124" s="249"/>
      <c r="EO124" s="249"/>
      <c r="EP124" s="249"/>
      <c r="EQ124" s="249"/>
      <c r="ER124" s="249"/>
      <c r="ES124" s="297">
        <f aca="true" t="shared" si="211" ref="ES124:ES130">SUM(ES90:EY90)</f>
        <v>0</v>
      </c>
      <c r="ET124" s="303">
        <v>1</v>
      </c>
      <c r="EU124" s="249"/>
      <c r="EV124" s="249"/>
      <c r="EW124" s="249"/>
      <c r="EX124" s="249"/>
      <c r="EY124" s="249"/>
      <c r="EZ124" s="297">
        <f aca="true" t="shared" si="212" ref="EZ124:EZ130">SUM(EZ90:FF90)</f>
        <v>0</v>
      </c>
      <c r="FA124" s="303">
        <v>1</v>
      </c>
      <c r="FB124" s="249"/>
      <c r="FC124" s="249"/>
      <c r="FD124" s="249"/>
      <c r="FE124" s="249"/>
      <c r="FF124" s="249"/>
      <c r="FG124" s="297">
        <f aca="true" t="shared" si="213" ref="FG124:FG130">SUM(FG90:FM90)</f>
        <v>0</v>
      </c>
      <c r="FH124" s="303">
        <v>1</v>
      </c>
      <c r="FI124" s="249"/>
      <c r="FJ124" s="249"/>
      <c r="FK124" s="249"/>
      <c r="FL124" s="249"/>
      <c r="FM124" s="249"/>
      <c r="FN124" s="297">
        <f aca="true" t="shared" si="214" ref="FN124:FN130">SUM(FN90:FT90)</f>
        <v>0</v>
      </c>
      <c r="FO124" s="303">
        <v>1</v>
      </c>
      <c r="FP124" s="249"/>
      <c r="FQ124" s="249"/>
      <c r="FR124" s="249"/>
      <c r="FS124" s="249"/>
      <c r="FT124" s="249"/>
      <c r="FU124" s="297">
        <f aca="true" t="shared" si="215" ref="FU124:FU130">SUM(FU90:GA90)</f>
        <v>0</v>
      </c>
      <c r="FV124" s="303">
        <v>1</v>
      </c>
      <c r="FW124" s="249"/>
      <c r="FX124" s="249"/>
      <c r="FY124" s="249"/>
      <c r="FZ124" s="249"/>
      <c r="GA124" s="249"/>
    </row>
    <row r="125" spans="1:183" ht="12.75">
      <c r="A125" s="304" t="s">
        <v>278</v>
      </c>
      <c r="B125" s="297">
        <f t="shared" si="190"/>
        <v>0</v>
      </c>
      <c r="C125" s="303" t="e">
        <f>B125/B124</f>
        <v>#DIV/0!</v>
      </c>
      <c r="D125" s="249"/>
      <c r="E125" s="249"/>
      <c r="F125" s="249"/>
      <c r="G125" s="249"/>
      <c r="H125" s="249"/>
      <c r="I125" s="297">
        <f t="shared" si="191"/>
        <v>0</v>
      </c>
      <c r="J125" s="303" t="e">
        <f>I125/I124</f>
        <v>#DIV/0!</v>
      </c>
      <c r="K125" s="249"/>
      <c r="L125" s="249"/>
      <c r="M125" s="249"/>
      <c r="N125" s="249"/>
      <c r="O125" s="249"/>
      <c r="P125" s="297">
        <f t="shared" si="192"/>
        <v>0</v>
      </c>
      <c r="Q125" s="303" t="e">
        <f>P125/P124</f>
        <v>#DIV/0!</v>
      </c>
      <c r="R125" s="249"/>
      <c r="S125" s="249"/>
      <c r="T125" s="249"/>
      <c r="U125" s="249"/>
      <c r="V125" s="249"/>
      <c r="W125" s="297">
        <f t="shared" si="193"/>
        <v>0</v>
      </c>
      <c r="X125" s="303" t="e">
        <f>W125/W124</f>
        <v>#DIV/0!</v>
      </c>
      <c r="Y125" s="249"/>
      <c r="Z125" s="249"/>
      <c r="AA125" s="249"/>
      <c r="AB125" s="249"/>
      <c r="AC125" s="249"/>
      <c r="AD125" s="297">
        <f t="shared" si="194"/>
        <v>0</v>
      </c>
      <c r="AE125" s="303" t="e">
        <f>AD125/AD124</f>
        <v>#DIV/0!</v>
      </c>
      <c r="AF125" s="249"/>
      <c r="AG125" s="249"/>
      <c r="AH125" s="249"/>
      <c r="AI125" s="249"/>
      <c r="AJ125" s="249"/>
      <c r="AK125" s="297">
        <f t="shared" si="195"/>
        <v>0</v>
      </c>
      <c r="AL125" s="303" t="e">
        <f>AK125/AK124</f>
        <v>#DIV/0!</v>
      </c>
      <c r="AM125" s="249"/>
      <c r="AN125" s="249"/>
      <c r="AO125" s="249"/>
      <c r="AP125" s="249"/>
      <c r="AQ125" s="249"/>
      <c r="AR125" s="297">
        <f t="shared" si="196"/>
        <v>0</v>
      </c>
      <c r="AS125" s="303" t="e">
        <f>AR125/AR124</f>
        <v>#DIV/0!</v>
      </c>
      <c r="AT125" s="249"/>
      <c r="AU125" s="249"/>
      <c r="AV125" s="249"/>
      <c r="AW125" s="249"/>
      <c r="AX125" s="249"/>
      <c r="AY125" s="297">
        <f t="shared" si="197"/>
        <v>0</v>
      </c>
      <c r="AZ125" s="303" t="e">
        <f>AY125/AY124</f>
        <v>#DIV/0!</v>
      </c>
      <c r="BA125" s="249"/>
      <c r="BB125" s="249"/>
      <c r="BC125" s="249"/>
      <c r="BD125" s="249"/>
      <c r="BE125" s="249"/>
      <c r="BF125" s="297">
        <f t="shared" si="198"/>
        <v>0</v>
      </c>
      <c r="BG125" s="303" t="e">
        <f>BF125/BF124</f>
        <v>#DIV/0!</v>
      </c>
      <c r="BH125" s="249"/>
      <c r="BI125" s="249"/>
      <c r="BJ125" s="249"/>
      <c r="BK125" s="249"/>
      <c r="BL125" s="249"/>
      <c r="BM125" s="297">
        <f t="shared" si="199"/>
        <v>0</v>
      </c>
      <c r="BN125" s="303" t="e">
        <f>BM125/BM124</f>
        <v>#DIV/0!</v>
      </c>
      <c r="BO125" s="249"/>
      <c r="BP125" s="249"/>
      <c r="BQ125" s="249"/>
      <c r="BR125" s="249"/>
      <c r="BS125" s="249"/>
      <c r="BT125" s="297">
        <f t="shared" si="200"/>
        <v>0</v>
      </c>
      <c r="BU125" s="303" t="e">
        <f>BT125/BT124</f>
        <v>#DIV/0!</v>
      </c>
      <c r="BV125" s="249"/>
      <c r="BW125" s="249"/>
      <c r="BX125" s="249"/>
      <c r="BY125" s="249"/>
      <c r="BZ125" s="249"/>
      <c r="CA125" s="297">
        <f t="shared" si="201"/>
        <v>0</v>
      </c>
      <c r="CB125" s="303" t="e">
        <f>CA125/CA124</f>
        <v>#DIV/0!</v>
      </c>
      <c r="CC125" s="249"/>
      <c r="CD125" s="249"/>
      <c r="CE125" s="249"/>
      <c r="CF125" s="249"/>
      <c r="CG125" s="249"/>
      <c r="CH125" s="297">
        <f t="shared" si="202"/>
        <v>0</v>
      </c>
      <c r="CI125" s="303" t="e">
        <f>CH125/CH124</f>
        <v>#DIV/0!</v>
      </c>
      <c r="CJ125" s="249"/>
      <c r="CK125" s="249"/>
      <c r="CL125" s="249"/>
      <c r="CM125" s="249"/>
      <c r="CN125" s="249"/>
      <c r="CO125" s="297">
        <f t="shared" si="203"/>
        <v>0</v>
      </c>
      <c r="CP125" s="303" t="e">
        <f>CO125/CO124</f>
        <v>#DIV/0!</v>
      </c>
      <c r="CQ125" s="249"/>
      <c r="CR125" s="249"/>
      <c r="CS125" s="249"/>
      <c r="CT125" s="249"/>
      <c r="CU125" s="249"/>
      <c r="CV125" s="297">
        <f t="shared" si="204"/>
        <v>0</v>
      </c>
      <c r="CW125" s="303" t="e">
        <f>CV125/CV124</f>
        <v>#DIV/0!</v>
      </c>
      <c r="CX125" s="249"/>
      <c r="CY125" s="249"/>
      <c r="CZ125" s="249"/>
      <c r="DA125" s="249"/>
      <c r="DB125" s="249"/>
      <c r="DC125" s="297">
        <f t="shared" si="205"/>
        <v>0</v>
      </c>
      <c r="DD125" s="303" t="e">
        <f>DC125/DC124</f>
        <v>#DIV/0!</v>
      </c>
      <c r="DE125" s="249"/>
      <c r="DF125" s="249"/>
      <c r="DG125" s="249"/>
      <c r="DH125" s="249"/>
      <c r="DI125" s="249"/>
      <c r="DJ125" s="297">
        <f t="shared" si="206"/>
        <v>0</v>
      </c>
      <c r="DK125" s="303" t="e">
        <f>DJ125/DJ124</f>
        <v>#DIV/0!</v>
      </c>
      <c r="DL125" s="249"/>
      <c r="DM125" s="249"/>
      <c r="DN125" s="249"/>
      <c r="DO125" s="249"/>
      <c r="DP125" s="249"/>
      <c r="DQ125" s="297">
        <f t="shared" si="207"/>
        <v>0</v>
      </c>
      <c r="DR125" s="303" t="e">
        <f>DQ125/DQ124</f>
        <v>#DIV/0!</v>
      </c>
      <c r="DS125" s="249"/>
      <c r="DT125" s="249"/>
      <c r="DU125" s="249"/>
      <c r="DV125" s="249"/>
      <c r="DW125" s="249"/>
      <c r="DX125" s="297">
        <f t="shared" si="208"/>
        <v>0</v>
      </c>
      <c r="DY125" s="303" t="e">
        <f>DX125/DX124</f>
        <v>#DIV/0!</v>
      </c>
      <c r="DZ125" s="249"/>
      <c r="EA125" s="249"/>
      <c r="EB125" s="249"/>
      <c r="EC125" s="249"/>
      <c r="ED125" s="249"/>
      <c r="EE125" s="297">
        <f t="shared" si="209"/>
        <v>0</v>
      </c>
      <c r="EF125" s="303" t="e">
        <f>EE125/EE124</f>
        <v>#DIV/0!</v>
      </c>
      <c r="EG125" s="249"/>
      <c r="EH125" s="249"/>
      <c r="EI125" s="249"/>
      <c r="EJ125" s="249"/>
      <c r="EK125" s="249"/>
      <c r="EL125" s="297">
        <f t="shared" si="210"/>
        <v>0</v>
      </c>
      <c r="EM125" s="303" t="e">
        <f>EL125/EL124</f>
        <v>#DIV/0!</v>
      </c>
      <c r="EN125" s="249"/>
      <c r="EO125" s="249"/>
      <c r="EP125" s="249"/>
      <c r="EQ125" s="249"/>
      <c r="ER125" s="249"/>
      <c r="ES125" s="297">
        <f t="shared" si="211"/>
        <v>0</v>
      </c>
      <c r="ET125" s="303" t="e">
        <f>ES125/ES124</f>
        <v>#DIV/0!</v>
      </c>
      <c r="EU125" s="249"/>
      <c r="EV125" s="249"/>
      <c r="EW125" s="249"/>
      <c r="EX125" s="249"/>
      <c r="EY125" s="249"/>
      <c r="EZ125" s="297">
        <f t="shared" si="212"/>
        <v>0</v>
      </c>
      <c r="FA125" s="303" t="e">
        <f>EZ125/EZ124</f>
        <v>#DIV/0!</v>
      </c>
      <c r="FB125" s="249"/>
      <c r="FC125" s="249"/>
      <c r="FD125" s="249"/>
      <c r="FE125" s="249"/>
      <c r="FF125" s="249"/>
      <c r="FG125" s="297">
        <f t="shared" si="213"/>
        <v>0</v>
      </c>
      <c r="FH125" s="303" t="e">
        <f>FG125/FG124</f>
        <v>#DIV/0!</v>
      </c>
      <c r="FI125" s="249"/>
      <c r="FJ125" s="249"/>
      <c r="FK125" s="249"/>
      <c r="FL125" s="249"/>
      <c r="FM125" s="249"/>
      <c r="FN125" s="297">
        <f t="shared" si="214"/>
        <v>0</v>
      </c>
      <c r="FO125" s="303" t="e">
        <f>FN125/FN124</f>
        <v>#DIV/0!</v>
      </c>
      <c r="FP125" s="249"/>
      <c r="FQ125" s="249"/>
      <c r="FR125" s="249"/>
      <c r="FS125" s="249"/>
      <c r="FT125" s="249"/>
      <c r="FU125" s="297">
        <f t="shared" si="215"/>
        <v>0</v>
      </c>
      <c r="FV125" s="303" t="e">
        <f>FU125/FU124</f>
        <v>#DIV/0!</v>
      </c>
      <c r="FW125" s="249"/>
      <c r="FX125" s="249"/>
      <c r="FY125" s="249"/>
      <c r="FZ125" s="249"/>
      <c r="GA125" s="249"/>
    </row>
    <row r="126" spans="1:183" ht="12.75">
      <c r="A126" s="304" t="s">
        <v>1</v>
      </c>
      <c r="B126" s="297">
        <f t="shared" si="190"/>
        <v>0</v>
      </c>
      <c r="C126" s="303" t="e">
        <f>B126/B124</f>
        <v>#DIV/0!</v>
      </c>
      <c r="D126" s="249"/>
      <c r="E126" s="249"/>
      <c r="F126" s="249"/>
      <c r="G126" s="249"/>
      <c r="H126" s="249"/>
      <c r="I126" s="297">
        <f t="shared" si="191"/>
        <v>0</v>
      </c>
      <c r="J126" s="303" t="e">
        <f>I126/I124</f>
        <v>#DIV/0!</v>
      </c>
      <c r="K126" s="249"/>
      <c r="L126" s="249"/>
      <c r="M126" s="249"/>
      <c r="N126" s="249"/>
      <c r="O126" s="249"/>
      <c r="P126" s="297">
        <f t="shared" si="192"/>
        <v>0</v>
      </c>
      <c r="Q126" s="303" t="e">
        <f>P126/P124</f>
        <v>#DIV/0!</v>
      </c>
      <c r="R126" s="249"/>
      <c r="S126" s="249"/>
      <c r="T126" s="249"/>
      <c r="U126" s="249"/>
      <c r="V126" s="249"/>
      <c r="W126" s="297">
        <f t="shared" si="193"/>
        <v>0</v>
      </c>
      <c r="X126" s="303" t="e">
        <f>W126/W124</f>
        <v>#DIV/0!</v>
      </c>
      <c r="Y126" s="249"/>
      <c r="Z126" s="249"/>
      <c r="AA126" s="249"/>
      <c r="AB126" s="249"/>
      <c r="AC126" s="249"/>
      <c r="AD126" s="297">
        <f t="shared" si="194"/>
        <v>0</v>
      </c>
      <c r="AE126" s="303" t="e">
        <f>AD126/AD124</f>
        <v>#DIV/0!</v>
      </c>
      <c r="AF126" s="249"/>
      <c r="AG126" s="249"/>
      <c r="AH126" s="249"/>
      <c r="AI126" s="249"/>
      <c r="AJ126" s="249"/>
      <c r="AK126" s="297">
        <f t="shared" si="195"/>
        <v>0</v>
      </c>
      <c r="AL126" s="303" t="e">
        <f>AK126/AK124</f>
        <v>#DIV/0!</v>
      </c>
      <c r="AM126" s="249"/>
      <c r="AN126" s="249"/>
      <c r="AO126" s="249"/>
      <c r="AP126" s="249"/>
      <c r="AQ126" s="249"/>
      <c r="AR126" s="297">
        <f t="shared" si="196"/>
        <v>0</v>
      </c>
      <c r="AS126" s="303" t="e">
        <f>AR126/AR124</f>
        <v>#DIV/0!</v>
      </c>
      <c r="AT126" s="249"/>
      <c r="AU126" s="249"/>
      <c r="AV126" s="249"/>
      <c r="AW126" s="249"/>
      <c r="AX126" s="249"/>
      <c r="AY126" s="297">
        <f t="shared" si="197"/>
        <v>0</v>
      </c>
      <c r="AZ126" s="303" t="e">
        <f>AY126/AY124</f>
        <v>#DIV/0!</v>
      </c>
      <c r="BA126" s="249"/>
      <c r="BB126" s="249"/>
      <c r="BC126" s="249"/>
      <c r="BD126" s="249"/>
      <c r="BE126" s="249"/>
      <c r="BF126" s="297">
        <f t="shared" si="198"/>
        <v>0</v>
      </c>
      <c r="BG126" s="303" t="e">
        <f>BF126/BF124</f>
        <v>#DIV/0!</v>
      </c>
      <c r="BH126" s="249"/>
      <c r="BI126" s="249"/>
      <c r="BJ126" s="249"/>
      <c r="BK126" s="249"/>
      <c r="BL126" s="249"/>
      <c r="BM126" s="297">
        <f t="shared" si="199"/>
        <v>0</v>
      </c>
      <c r="BN126" s="303" t="e">
        <f>BM126/BM124</f>
        <v>#DIV/0!</v>
      </c>
      <c r="BO126" s="249"/>
      <c r="BP126" s="249"/>
      <c r="BQ126" s="249"/>
      <c r="BR126" s="249"/>
      <c r="BS126" s="249"/>
      <c r="BT126" s="297">
        <f t="shared" si="200"/>
        <v>0</v>
      </c>
      <c r="BU126" s="303" t="e">
        <f>BT126/BT124</f>
        <v>#DIV/0!</v>
      </c>
      <c r="BV126" s="249"/>
      <c r="BW126" s="249"/>
      <c r="BX126" s="249"/>
      <c r="BY126" s="249"/>
      <c r="BZ126" s="249"/>
      <c r="CA126" s="297">
        <f t="shared" si="201"/>
        <v>0</v>
      </c>
      <c r="CB126" s="303" t="e">
        <f>CA126/CA124</f>
        <v>#DIV/0!</v>
      </c>
      <c r="CC126" s="249"/>
      <c r="CD126" s="249"/>
      <c r="CE126" s="249"/>
      <c r="CF126" s="249"/>
      <c r="CG126" s="249"/>
      <c r="CH126" s="297">
        <f t="shared" si="202"/>
        <v>0</v>
      </c>
      <c r="CI126" s="303" t="e">
        <f>CH126/CH124</f>
        <v>#DIV/0!</v>
      </c>
      <c r="CJ126" s="249"/>
      <c r="CK126" s="249"/>
      <c r="CL126" s="249"/>
      <c r="CM126" s="249"/>
      <c r="CN126" s="249"/>
      <c r="CO126" s="297">
        <f t="shared" si="203"/>
        <v>0</v>
      </c>
      <c r="CP126" s="303" t="e">
        <f>CO126/CO124</f>
        <v>#DIV/0!</v>
      </c>
      <c r="CQ126" s="249"/>
      <c r="CR126" s="249"/>
      <c r="CS126" s="249"/>
      <c r="CT126" s="249"/>
      <c r="CU126" s="249"/>
      <c r="CV126" s="297">
        <f t="shared" si="204"/>
        <v>0</v>
      </c>
      <c r="CW126" s="303" t="e">
        <f>CV126/CV124</f>
        <v>#DIV/0!</v>
      </c>
      <c r="CX126" s="249"/>
      <c r="CY126" s="249"/>
      <c r="CZ126" s="249"/>
      <c r="DA126" s="249"/>
      <c r="DB126" s="249"/>
      <c r="DC126" s="297">
        <f t="shared" si="205"/>
        <v>0</v>
      </c>
      <c r="DD126" s="303" t="e">
        <f>DC126/DC124</f>
        <v>#DIV/0!</v>
      </c>
      <c r="DE126" s="249"/>
      <c r="DF126" s="249"/>
      <c r="DG126" s="249"/>
      <c r="DH126" s="249"/>
      <c r="DI126" s="249"/>
      <c r="DJ126" s="297">
        <f t="shared" si="206"/>
        <v>0</v>
      </c>
      <c r="DK126" s="303" t="e">
        <f>DJ126/DJ124</f>
        <v>#DIV/0!</v>
      </c>
      <c r="DL126" s="249"/>
      <c r="DM126" s="249"/>
      <c r="DN126" s="249"/>
      <c r="DO126" s="249"/>
      <c r="DP126" s="249"/>
      <c r="DQ126" s="297">
        <f t="shared" si="207"/>
        <v>0</v>
      </c>
      <c r="DR126" s="303" t="e">
        <f>DQ126/DQ124</f>
        <v>#DIV/0!</v>
      </c>
      <c r="DS126" s="249"/>
      <c r="DT126" s="249"/>
      <c r="DU126" s="249"/>
      <c r="DV126" s="249"/>
      <c r="DW126" s="249"/>
      <c r="DX126" s="297">
        <f t="shared" si="208"/>
        <v>0</v>
      </c>
      <c r="DY126" s="303" t="e">
        <f>DX126/DX124</f>
        <v>#DIV/0!</v>
      </c>
      <c r="DZ126" s="249"/>
      <c r="EA126" s="249"/>
      <c r="EB126" s="249"/>
      <c r="EC126" s="249"/>
      <c r="ED126" s="249"/>
      <c r="EE126" s="297">
        <f t="shared" si="209"/>
        <v>0</v>
      </c>
      <c r="EF126" s="303" t="e">
        <f>EE126/EE124</f>
        <v>#DIV/0!</v>
      </c>
      <c r="EG126" s="249"/>
      <c r="EH126" s="249"/>
      <c r="EI126" s="249"/>
      <c r="EJ126" s="249"/>
      <c r="EK126" s="249"/>
      <c r="EL126" s="297">
        <f t="shared" si="210"/>
        <v>0</v>
      </c>
      <c r="EM126" s="303" t="e">
        <f>EL126/EL124</f>
        <v>#DIV/0!</v>
      </c>
      <c r="EN126" s="249"/>
      <c r="EO126" s="249"/>
      <c r="EP126" s="249"/>
      <c r="EQ126" s="249"/>
      <c r="ER126" s="249"/>
      <c r="ES126" s="297">
        <f t="shared" si="211"/>
        <v>0</v>
      </c>
      <c r="ET126" s="303" t="e">
        <f>ES126/ES124</f>
        <v>#DIV/0!</v>
      </c>
      <c r="EU126" s="249"/>
      <c r="EV126" s="249"/>
      <c r="EW126" s="249"/>
      <c r="EX126" s="249"/>
      <c r="EY126" s="249"/>
      <c r="EZ126" s="297">
        <f t="shared" si="212"/>
        <v>0</v>
      </c>
      <c r="FA126" s="303" t="e">
        <f>EZ126/EZ124</f>
        <v>#DIV/0!</v>
      </c>
      <c r="FB126" s="249"/>
      <c r="FC126" s="249"/>
      <c r="FD126" s="249"/>
      <c r="FE126" s="249"/>
      <c r="FF126" s="249"/>
      <c r="FG126" s="297">
        <f t="shared" si="213"/>
        <v>0</v>
      </c>
      <c r="FH126" s="303" t="e">
        <f>FG126/FG124</f>
        <v>#DIV/0!</v>
      </c>
      <c r="FI126" s="249"/>
      <c r="FJ126" s="249"/>
      <c r="FK126" s="249"/>
      <c r="FL126" s="249"/>
      <c r="FM126" s="249"/>
      <c r="FN126" s="297">
        <f t="shared" si="214"/>
        <v>0</v>
      </c>
      <c r="FO126" s="303" t="e">
        <f>FN126/FN124</f>
        <v>#DIV/0!</v>
      </c>
      <c r="FP126" s="249"/>
      <c r="FQ126" s="249"/>
      <c r="FR126" s="249"/>
      <c r="FS126" s="249"/>
      <c r="FT126" s="249"/>
      <c r="FU126" s="297">
        <f t="shared" si="215"/>
        <v>0</v>
      </c>
      <c r="FV126" s="303" t="e">
        <f>FU126/FU124</f>
        <v>#DIV/0!</v>
      </c>
      <c r="FW126" s="249"/>
      <c r="FX126" s="249"/>
      <c r="FY126" s="249"/>
      <c r="FZ126" s="249"/>
      <c r="GA126" s="249"/>
    </row>
    <row r="127" spans="1:183" ht="12.75">
      <c r="A127" s="304" t="s">
        <v>260</v>
      </c>
      <c r="B127" s="297">
        <f t="shared" si="190"/>
        <v>0</v>
      </c>
      <c r="C127" s="303" t="e">
        <f>B127/B124</f>
        <v>#DIV/0!</v>
      </c>
      <c r="D127" s="249"/>
      <c r="E127" s="249"/>
      <c r="F127" s="249"/>
      <c r="G127" s="249"/>
      <c r="H127" s="249"/>
      <c r="I127" s="297">
        <f t="shared" si="191"/>
        <v>0</v>
      </c>
      <c r="J127" s="303" t="e">
        <f>I127/I124</f>
        <v>#DIV/0!</v>
      </c>
      <c r="K127" s="249"/>
      <c r="L127" s="249"/>
      <c r="M127" s="249"/>
      <c r="N127" s="249"/>
      <c r="O127" s="249"/>
      <c r="P127" s="297">
        <f t="shared" si="192"/>
        <v>0</v>
      </c>
      <c r="Q127" s="303" t="e">
        <f>P127/P124</f>
        <v>#DIV/0!</v>
      </c>
      <c r="R127" s="249"/>
      <c r="S127" s="249"/>
      <c r="T127" s="249"/>
      <c r="U127" s="249"/>
      <c r="V127" s="249"/>
      <c r="W127" s="297">
        <f t="shared" si="193"/>
        <v>0</v>
      </c>
      <c r="X127" s="303" t="e">
        <f>W127/W124</f>
        <v>#DIV/0!</v>
      </c>
      <c r="Y127" s="249"/>
      <c r="Z127" s="249"/>
      <c r="AA127" s="249"/>
      <c r="AB127" s="249"/>
      <c r="AC127" s="249"/>
      <c r="AD127" s="297">
        <f t="shared" si="194"/>
        <v>0</v>
      </c>
      <c r="AE127" s="303" t="e">
        <f>AD127/AD124</f>
        <v>#DIV/0!</v>
      </c>
      <c r="AF127" s="249"/>
      <c r="AG127" s="249"/>
      <c r="AH127" s="249"/>
      <c r="AI127" s="249"/>
      <c r="AJ127" s="249"/>
      <c r="AK127" s="297">
        <f t="shared" si="195"/>
        <v>0</v>
      </c>
      <c r="AL127" s="303" t="e">
        <f>AK127/AK124</f>
        <v>#DIV/0!</v>
      </c>
      <c r="AM127" s="249"/>
      <c r="AN127" s="249"/>
      <c r="AO127" s="249"/>
      <c r="AP127" s="249"/>
      <c r="AQ127" s="249"/>
      <c r="AR127" s="297">
        <f t="shared" si="196"/>
        <v>0</v>
      </c>
      <c r="AS127" s="303" t="e">
        <f>AR127/AR124</f>
        <v>#DIV/0!</v>
      </c>
      <c r="AT127" s="249"/>
      <c r="AU127" s="249"/>
      <c r="AV127" s="249"/>
      <c r="AW127" s="249"/>
      <c r="AX127" s="249"/>
      <c r="AY127" s="297">
        <f t="shared" si="197"/>
        <v>0</v>
      </c>
      <c r="AZ127" s="303" t="e">
        <f>AY127/AY124</f>
        <v>#DIV/0!</v>
      </c>
      <c r="BA127" s="249"/>
      <c r="BB127" s="249"/>
      <c r="BC127" s="249"/>
      <c r="BD127" s="249"/>
      <c r="BE127" s="249"/>
      <c r="BF127" s="297">
        <f t="shared" si="198"/>
        <v>0</v>
      </c>
      <c r="BG127" s="303" t="e">
        <f>BF127/BF124</f>
        <v>#DIV/0!</v>
      </c>
      <c r="BH127" s="249"/>
      <c r="BI127" s="249"/>
      <c r="BJ127" s="249"/>
      <c r="BK127" s="249"/>
      <c r="BL127" s="249"/>
      <c r="BM127" s="297">
        <f t="shared" si="199"/>
        <v>0</v>
      </c>
      <c r="BN127" s="303" t="e">
        <f>BM127/BM124</f>
        <v>#DIV/0!</v>
      </c>
      <c r="BO127" s="249"/>
      <c r="BP127" s="249"/>
      <c r="BQ127" s="249"/>
      <c r="BR127" s="249"/>
      <c r="BS127" s="249"/>
      <c r="BT127" s="297">
        <f t="shared" si="200"/>
        <v>0</v>
      </c>
      <c r="BU127" s="303" t="e">
        <f>BT127/BT124</f>
        <v>#DIV/0!</v>
      </c>
      <c r="BV127" s="249"/>
      <c r="BW127" s="249"/>
      <c r="BX127" s="249"/>
      <c r="BY127" s="249"/>
      <c r="BZ127" s="249"/>
      <c r="CA127" s="297">
        <f t="shared" si="201"/>
        <v>0</v>
      </c>
      <c r="CB127" s="303" t="e">
        <f>CA127/CA124</f>
        <v>#DIV/0!</v>
      </c>
      <c r="CC127" s="249"/>
      <c r="CD127" s="249"/>
      <c r="CE127" s="249"/>
      <c r="CF127" s="249"/>
      <c r="CG127" s="249"/>
      <c r="CH127" s="297">
        <f t="shared" si="202"/>
        <v>0</v>
      </c>
      <c r="CI127" s="303" t="e">
        <f>CH127/CH124</f>
        <v>#DIV/0!</v>
      </c>
      <c r="CJ127" s="249"/>
      <c r="CK127" s="249"/>
      <c r="CL127" s="249"/>
      <c r="CM127" s="249"/>
      <c r="CN127" s="249"/>
      <c r="CO127" s="297">
        <f t="shared" si="203"/>
        <v>0</v>
      </c>
      <c r="CP127" s="303" t="e">
        <f>CO127/CO124</f>
        <v>#DIV/0!</v>
      </c>
      <c r="CQ127" s="249"/>
      <c r="CR127" s="249"/>
      <c r="CS127" s="249"/>
      <c r="CT127" s="249"/>
      <c r="CU127" s="249"/>
      <c r="CV127" s="297">
        <f t="shared" si="204"/>
        <v>0</v>
      </c>
      <c r="CW127" s="303" t="e">
        <f>CV127/CV124</f>
        <v>#DIV/0!</v>
      </c>
      <c r="CX127" s="249"/>
      <c r="CY127" s="249"/>
      <c r="CZ127" s="249"/>
      <c r="DA127" s="249"/>
      <c r="DB127" s="249"/>
      <c r="DC127" s="297">
        <f t="shared" si="205"/>
        <v>0</v>
      </c>
      <c r="DD127" s="303" t="e">
        <f>DC127/DC124</f>
        <v>#DIV/0!</v>
      </c>
      <c r="DE127" s="249"/>
      <c r="DF127" s="249"/>
      <c r="DG127" s="249"/>
      <c r="DH127" s="249"/>
      <c r="DI127" s="249"/>
      <c r="DJ127" s="297">
        <f t="shared" si="206"/>
        <v>0</v>
      </c>
      <c r="DK127" s="303" t="e">
        <f>DJ127/DJ124</f>
        <v>#DIV/0!</v>
      </c>
      <c r="DL127" s="249"/>
      <c r="DM127" s="249"/>
      <c r="DN127" s="249"/>
      <c r="DO127" s="249"/>
      <c r="DP127" s="249"/>
      <c r="DQ127" s="297">
        <f t="shared" si="207"/>
        <v>0</v>
      </c>
      <c r="DR127" s="303" t="e">
        <f>DQ127/DQ124</f>
        <v>#DIV/0!</v>
      </c>
      <c r="DS127" s="249"/>
      <c r="DT127" s="249"/>
      <c r="DU127" s="249"/>
      <c r="DV127" s="249"/>
      <c r="DW127" s="249"/>
      <c r="DX127" s="297">
        <f t="shared" si="208"/>
        <v>0</v>
      </c>
      <c r="DY127" s="303" t="e">
        <f>DX127/DX124</f>
        <v>#DIV/0!</v>
      </c>
      <c r="DZ127" s="249"/>
      <c r="EA127" s="249"/>
      <c r="EB127" s="249"/>
      <c r="EC127" s="249"/>
      <c r="ED127" s="249"/>
      <c r="EE127" s="297">
        <f t="shared" si="209"/>
        <v>0</v>
      </c>
      <c r="EF127" s="303" t="e">
        <f>EE127/EE124</f>
        <v>#DIV/0!</v>
      </c>
      <c r="EG127" s="249"/>
      <c r="EH127" s="249"/>
      <c r="EI127" s="249"/>
      <c r="EJ127" s="249"/>
      <c r="EK127" s="249"/>
      <c r="EL127" s="297">
        <f t="shared" si="210"/>
        <v>0</v>
      </c>
      <c r="EM127" s="303" t="e">
        <f>EL127/EL124</f>
        <v>#DIV/0!</v>
      </c>
      <c r="EN127" s="249"/>
      <c r="EO127" s="249"/>
      <c r="EP127" s="249"/>
      <c r="EQ127" s="249"/>
      <c r="ER127" s="249"/>
      <c r="ES127" s="297">
        <f t="shared" si="211"/>
        <v>0</v>
      </c>
      <c r="ET127" s="303" t="e">
        <f>ES127/ES124</f>
        <v>#DIV/0!</v>
      </c>
      <c r="EU127" s="249"/>
      <c r="EV127" s="249"/>
      <c r="EW127" s="249"/>
      <c r="EX127" s="249"/>
      <c r="EY127" s="249"/>
      <c r="EZ127" s="297">
        <f t="shared" si="212"/>
        <v>0</v>
      </c>
      <c r="FA127" s="303" t="e">
        <f>EZ127/EZ124</f>
        <v>#DIV/0!</v>
      </c>
      <c r="FB127" s="249"/>
      <c r="FC127" s="249"/>
      <c r="FD127" s="249"/>
      <c r="FE127" s="249"/>
      <c r="FF127" s="249"/>
      <c r="FG127" s="297">
        <f t="shared" si="213"/>
        <v>0</v>
      </c>
      <c r="FH127" s="303" t="e">
        <f>FG127/FG124</f>
        <v>#DIV/0!</v>
      </c>
      <c r="FI127" s="249"/>
      <c r="FJ127" s="249"/>
      <c r="FK127" s="249"/>
      <c r="FL127" s="249"/>
      <c r="FM127" s="249"/>
      <c r="FN127" s="297">
        <f t="shared" si="214"/>
        <v>0</v>
      </c>
      <c r="FO127" s="303" t="e">
        <f>FN127/FN124</f>
        <v>#DIV/0!</v>
      </c>
      <c r="FP127" s="249"/>
      <c r="FQ127" s="249"/>
      <c r="FR127" s="249"/>
      <c r="FS127" s="249"/>
      <c r="FT127" s="249"/>
      <c r="FU127" s="297">
        <f t="shared" si="215"/>
        <v>0</v>
      </c>
      <c r="FV127" s="303" t="e">
        <f>FU127/FU124</f>
        <v>#DIV/0!</v>
      </c>
      <c r="FW127" s="249"/>
      <c r="FX127" s="249"/>
      <c r="FY127" s="249"/>
      <c r="FZ127" s="249"/>
      <c r="GA127" s="249"/>
    </row>
    <row r="128" spans="1:183" ht="12.75">
      <c r="A128" s="304" t="s">
        <v>261</v>
      </c>
      <c r="B128" s="297">
        <f t="shared" si="190"/>
        <v>0</v>
      </c>
      <c r="C128" s="303" t="e">
        <f>B128/B124</f>
        <v>#DIV/0!</v>
      </c>
      <c r="D128" s="249"/>
      <c r="E128" s="249"/>
      <c r="F128" s="249"/>
      <c r="G128" s="249"/>
      <c r="H128" s="249"/>
      <c r="I128" s="297">
        <f t="shared" si="191"/>
        <v>0</v>
      </c>
      <c r="J128" s="303" t="e">
        <f>I128/I124</f>
        <v>#DIV/0!</v>
      </c>
      <c r="K128" s="249"/>
      <c r="L128" s="249"/>
      <c r="M128" s="249"/>
      <c r="N128" s="249"/>
      <c r="O128" s="249"/>
      <c r="P128" s="297">
        <f t="shared" si="192"/>
        <v>0</v>
      </c>
      <c r="Q128" s="303" t="e">
        <f>P128/P124</f>
        <v>#DIV/0!</v>
      </c>
      <c r="R128" s="249"/>
      <c r="S128" s="249"/>
      <c r="T128" s="249"/>
      <c r="U128" s="249"/>
      <c r="V128" s="249"/>
      <c r="W128" s="297">
        <f t="shared" si="193"/>
        <v>0</v>
      </c>
      <c r="X128" s="303" t="e">
        <f>W128/W124</f>
        <v>#DIV/0!</v>
      </c>
      <c r="Y128" s="249"/>
      <c r="Z128" s="249"/>
      <c r="AA128" s="249"/>
      <c r="AB128" s="249"/>
      <c r="AC128" s="249"/>
      <c r="AD128" s="297">
        <f t="shared" si="194"/>
        <v>0</v>
      </c>
      <c r="AE128" s="303" t="e">
        <f>AD128/AD124</f>
        <v>#DIV/0!</v>
      </c>
      <c r="AF128" s="249"/>
      <c r="AG128" s="249"/>
      <c r="AH128" s="249"/>
      <c r="AI128" s="249"/>
      <c r="AJ128" s="249"/>
      <c r="AK128" s="297">
        <f t="shared" si="195"/>
        <v>0</v>
      </c>
      <c r="AL128" s="303" t="e">
        <f>AK128/AK124</f>
        <v>#DIV/0!</v>
      </c>
      <c r="AM128" s="249"/>
      <c r="AN128" s="249"/>
      <c r="AO128" s="249"/>
      <c r="AP128" s="249"/>
      <c r="AQ128" s="249"/>
      <c r="AR128" s="297">
        <f t="shared" si="196"/>
        <v>0</v>
      </c>
      <c r="AS128" s="303" t="e">
        <f>AR128/AR124</f>
        <v>#DIV/0!</v>
      </c>
      <c r="AT128" s="249"/>
      <c r="AU128" s="249"/>
      <c r="AV128" s="249"/>
      <c r="AW128" s="249"/>
      <c r="AX128" s="249"/>
      <c r="AY128" s="297">
        <f t="shared" si="197"/>
        <v>0</v>
      </c>
      <c r="AZ128" s="303" t="e">
        <f>AY128/AY124</f>
        <v>#DIV/0!</v>
      </c>
      <c r="BA128" s="249"/>
      <c r="BB128" s="249"/>
      <c r="BC128" s="249"/>
      <c r="BD128" s="249"/>
      <c r="BE128" s="249"/>
      <c r="BF128" s="297">
        <f t="shared" si="198"/>
        <v>0</v>
      </c>
      <c r="BG128" s="303" t="e">
        <f>BF128/BF124</f>
        <v>#DIV/0!</v>
      </c>
      <c r="BH128" s="249"/>
      <c r="BI128" s="249"/>
      <c r="BJ128" s="249"/>
      <c r="BK128" s="249"/>
      <c r="BL128" s="249"/>
      <c r="BM128" s="297">
        <f t="shared" si="199"/>
        <v>0</v>
      </c>
      <c r="BN128" s="303" t="e">
        <f>BM128/BM124</f>
        <v>#DIV/0!</v>
      </c>
      <c r="BO128" s="249"/>
      <c r="BP128" s="249"/>
      <c r="BQ128" s="249"/>
      <c r="BR128" s="249"/>
      <c r="BS128" s="249"/>
      <c r="BT128" s="297">
        <f t="shared" si="200"/>
        <v>0</v>
      </c>
      <c r="BU128" s="303" t="e">
        <f>BT128/BT124</f>
        <v>#DIV/0!</v>
      </c>
      <c r="BV128" s="249"/>
      <c r="BW128" s="249"/>
      <c r="BX128" s="249"/>
      <c r="BY128" s="249"/>
      <c r="BZ128" s="249"/>
      <c r="CA128" s="297">
        <f t="shared" si="201"/>
        <v>0</v>
      </c>
      <c r="CB128" s="303" t="e">
        <f>CA128/CA124</f>
        <v>#DIV/0!</v>
      </c>
      <c r="CC128" s="249"/>
      <c r="CD128" s="249"/>
      <c r="CE128" s="249"/>
      <c r="CF128" s="249"/>
      <c r="CG128" s="249"/>
      <c r="CH128" s="297">
        <f t="shared" si="202"/>
        <v>0</v>
      </c>
      <c r="CI128" s="303" t="e">
        <f>CH128/CH124</f>
        <v>#DIV/0!</v>
      </c>
      <c r="CJ128" s="249"/>
      <c r="CK128" s="249"/>
      <c r="CL128" s="249"/>
      <c r="CM128" s="249"/>
      <c r="CN128" s="249"/>
      <c r="CO128" s="297">
        <f t="shared" si="203"/>
        <v>0</v>
      </c>
      <c r="CP128" s="303" t="e">
        <f>CO128/CO124</f>
        <v>#DIV/0!</v>
      </c>
      <c r="CQ128" s="249"/>
      <c r="CR128" s="249"/>
      <c r="CS128" s="249"/>
      <c r="CT128" s="249"/>
      <c r="CU128" s="249"/>
      <c r="CV128" s="297">
        <f t="shared" si="204"/>
        <v>0</v>
      </c>
      <c r="CW128" s="303" t="e">
        <f>CV128/CV124</f>
        <v>#DIV/0!</v>
      </c>
      <c r="CX128" s="249"/>
      <c r="CY128" s="249"/>
      <c r="CZ128" s="249"/>
      <c r="DA128" s="249"/>
      <c r="DB128" s="249"/>
      <c r="DC128" s="297">
        <f t="shared" si="205"/>
        <v>0</v>
      </c>
      <c r="DD128" s="303" t="e">
        <f>DC128/DC124</f>
        <v>#DIV/0!</v>
      </c>
      <c r="DE128" s="249"/>
      <c r="DF128" s="249"/>
      <c r="DG128" s="249"/>
      <c r="DH128" s="249"/>
      <c r="DI128" s="249"/>
      <c r="DJ128" s="297">
        <f t="shared" si="206"/>
        <v>0</v>
      </c>
      <c r="DK128" s="303" t="e">
        <f>DJ128/DJ124</f>
        <v>#DIV/0!</v>
      </c>
      <c r="DL128" s="249"/>
      <c r="DM128" s="249"/>
      <c r="DN128" s="249"/>
      <c r="DO128" s="249"/>
      <c r="DP128" s="249"/>
      <c r="DQ128" s="297">
        <f t="shared" si="207"/>
        <v>0</v>
      </c>
      <c r="DR128" s="303" t="e">
        <f>DQ128/DQ124</f>
        <v>#DIV/0!</v>
      </c>
      <c r="DS128" s="249"/>
      <c r="DT128" s="249"/>
      <c r="DU128" s="249"/>
      <c r="DV128" s="249"/>
      <c r="DW128" s="249"/>
      <c r="DX128" s="297">
        <f t="shared" si="208"/>
        <v>0</v>
      </c>
      <c r="DY128" s="303" t="e">
        <f>DX128/DX124</f>
        <v>#DIV/0!</v>
      </c>
      <c r="DZ128" s="249"/>
      <c r="EA128" s="249"/>
      <c r="EB128" s="249"/>
      <c r="EC128" s="249"/>
      <c r="ED128" s="249"/>
      <c r="EE128" s="297">
        <f t="shared" si="209"/>
        <v>0</v>
      </c>
      <c r="EF128" s="303" t="e">
        <f>EE128/EE124</f>
        <v>#DIV/0!</v>
      </c>
      <c r="EG128" s="249"/>
      <c r="EH128" s="249"/>
      <c r="EI128" s="249"/>
      <c r="EJ128" s="249"/>
      <c r="EK128" s="249"/>
      <c r="EL128" s="297">
        <f t="shared" si="210"/>
        <v>0</v>
      </c>
      <c r="EM128" s="303" t="e">
        <f>EL128/EL124</f>
        <v>#DIV/0!</v>
      </c>
      <c r="EN128" s="249"/>
      <c r="EO128" s="249"/>
      <c r="EP128" s="249"/>
      <c r="EQ128" s="249"/>
      <c r="ER128" s="249"/>
      <c r="ES128" s="297">
        <f t="shared" si="211"/>
        <v>0</v>
      </c>
      <c r="ET128" s="303" t="e">
        <f>ES128/ES124</f>
        <v>#DIV/0!</v>
      </c>
      <c r="EU128" s="249"/>
      <c r="EV128" s="249"/>
      <c r="EW128" s="249"/>
      <c r="EX128" s="249"/>
      <c r="EY128" s="249"/>
      <c r="EZ128" s="297">
        <f t="shared" si="212"/>
        <v>0</v>
      </c>
      <c r="FA128" s="303" t="e">
        <f>EZ128/EZ124</f>
        <v>#DIV/0!</v>
      </c>
      <c r="FB128" s="249"/>
      <c r="FC128" s="249"/>
      <c r="FD128" s="249"/>
      <c r="FE128" s="249"/>
      <c r="FF128" s="249"/>
      <c r="FG128" s="297">
        <f t="shared" si="213"/>
        <v>0</v>
      </c>
      <c r="FH128" s="303" t="e">
        <f>FG128/FG124</f>
        <v>#DIV/0!</v>
      </c>
      <c r="FI128" s="249"/>
      <c r="FJ128" s="249"/>
      <c r="FK128" s="249"/>
      <c r="FL128" s="249"/>
      <c r="FM128" s="249"/>
      <c r="FN128" s="297">
        <f t="shared" si="214"/>
        <v>0</v>
      </c>
      <c r="FO128" s="303" t="e">
        <f>FN128/FN124</f>
        <v>#DIV/0!</v>
      </c>
      <c r="FP128" s="249"/>
      <c r="FQ128" s="249"/>
      <c r="FR128" s="249"/>
      <c r="FS128" s="249"/>
      <c r="FT128" s="249"/>
      <c r="FU128" s="297">
        <f t="shared" si="215"/>
        <v>0</v>
      </c>
      <c r="FV128" s="303" t="e">
        <f>FU128/FU124</f>
        <v>#DIV/0!</v>
      </c>
      <c r="FW128" s="249"/>
      <c r="FX128" s="249"/>
      <c r="FY128" s="249"/>
      <c r="FZ128" s="249"/>
      <c r="GA128" s="249"/>
    </row>
    <row r="129" spans="1:183" ht="12.75">
      <c r="A129" s="304" t="s">
        <v>2</v>
      </c>
      <c r="B129" s="297">
        <f t="shared" si="190"/>
        <v>0</v>
      </c>
      <c r="C129" s="303" t="e">
        <f>B129/B124</f>
        <v>#DIV/0!</v>
      </c>
      <c r="D129" s="249"/>
      <c r="E129" s="249"/>
      <c r="F129" s="249"/>
      <c r="G129" s="249"/>
      <c r="H129" s="249"/>
      <c r="I129" s="297">
        <f t="shared" si="191"/>
        <v>0</v>
      </c>
      <c r="J129" s="303" t="e">
        <f>I129/I124</f>
        <v>#DIV/0!</v>
      </c>
      <c r="K129" s="249"/>
      <c r="L129" s="249"/>
      <c r="M129" s="249"/>
      <c r="N129" s="249"/>
      <c r="O129" s="249"/>
      <c r="P129" s="297">
        <f t="shared" si="192"/>
        <v>0</v>
      </c>
      <c r="Q129" s="303" t="e">
        <f>P129/P124</f>
        <v>#DIV/0!</v>
      </c>
      <c r="R129" s="249"/>
      <c r="S129" s="249"/>
      <c r="T129" s="249"/>
      <c r="U129" s="249"/>
      <c r="V129" s="249"/>
      <c r="W129" s="297">
        <f t="shared" si="193"/>
        <v>0</v>
      </c>
      <c r="X129" s="303" t="e">
        <f>W129/W124</f>
        <v>#DIV/0!</v>
      </c>
      <c r="Y129" s="249"/>
      <c r="Z129" s="249"/>
      <c r="AA129" s="249"/>
      <c r="AB129" s="249"/>
      <c r="AC129" s="249"/>
      <c r="AD129" s="297">
        <f t="shared" si="194"/>
        <v>0</v>
      </c>
      <c r="AE129" s="303" t="e">
        <f>AD129/AD124</f>
        <v>#DIV/0!</v>
      </c>
      <c r="AF129" s="249"/>
      <c r="AG129" s="249"/>
      <c r="AH129" s="249"/>
      <c r="AI129" s="249"/>
      <c r="AJ129" s="249"/>
      <c r="AK129" s="297">
        <f t="shared" si="195"/>
        <v>0</v>
      </c>
      <c r="AL129" s="303" t="e">
        <f>AK129/AK124</f>
        <v>#DIV/0!</v>
      </c>
      <c r="AM129" s="249"/>
      <c r="AN129" s="249"/>
      <c r="AO129" s="249"/>
      <c r="AP129" s="249"/>
      <c r="AQ129" s="249"/>
      <c r="AR129" s="297">
        <f t="shared" si="196"/>
        <v>0</v>
      </c>
      <c r="AS129" s="303" t="e">
        <f>AR129/AR124</f>
        <v>#DIV/0!</v>
      </c>
      <c r="AT129" s="249"/>
      <c r="AU129" s="249"/>
      <c r="AV129" s="249"/>
      <c r="AW129" s="249"/>
      <c r="AX129" s="249"/>
      <c r="AY129" s="297">
        <f t="shared" si="197"/>
        <v>0</v>
      </c>
      <c r="AZ129" s="303" t="e">
        <f>AY129/AY124</f>
        <v>#DIV/0!</v>
      </c>
      <c r="BA129" s="249"/>
      <c r="BB129" s="249"/>
      <c r="BC129" s="249"/>
      <c r="BD129" s="249"/>
      <c r="BE129" s="249"/>
      <c r="BF129" s="297">
        <f t="shared" si="198"/>
        <v>0</v>
      </c>
      <c r="BG129" s="303" t="e">
        <f>BF129/BF124</f>
        <v>#DIV/0!</v>
      </c>
      <c r="BH129" s="249"/>
      <c r="BI129" s="249"/>
      <c r="BJ129" s="249"/>
      <c r="BK129" s="249"/>
      <c r="BL129" s="249"/>
      <c r="BM129" s="297">
        <f t="shared" si="199"/>
        <v>0</v>
      </c>
      <c r="BN129" s="303" t="e">
        <f>BM129/BM124</f>
        <v>#DIV/0!</v>
      </c>
      <c r="BO129" s="249"/>
      <c r="BP129" s="249"/>
      <c r="BQ129" s="249"/>
      <c r="BR129" s="249"/>
      <c r="BS129" s="249"/>
      <c r="BT129" s="297">
        <f t="shared" si="200"/>
        <v>0</v>
      </c>
      <c r="BU129" s="303" t="e">
        <f>BT129/BT124</f>
        <v>#DIV/0!</v>
      </c>
      <c r="BV129" s="249"/>
      <c r="BW129" s="249"/>
      <c r="BX129" s="249"/>
      <c r="BY129" s="249"/>
      <c r="BZ129" s="249"/>
      <c r="CA129" s="297">
        <f t="shared" si="201"/>
        <v>0</v>
      </c>
      <c r="CB129" s="303" t="e">
        <f>CA129/CA124</f>
        <v>#DIV/0!</v>
      </c>
      <c r="CC129" s="249"/>
      <c r="CD129" s="249"/>
      <c r="CE129" s="249"/>
      <c r="CF129" s="249"/>
      <c r="CG129" s="249"/>
      <c r="CH129" s="297">
        <f t="shared" si="202"/>
        <v>0</v>
      </c>
      <c r="CI129" s="303" t="e">
        <f>CH129/CH124</f>
        <v>#DIV/0!</v>
      </c>
      <c r="CJ129" s="249"/>
      <c r="CK129" s="249"/>
      <c r="CL129" s="249"/>
      <c r="CM129" s="249"/>
      <c r="CN129" s="249"/>
      <c r="CO129" s="297">
        <f t="shared" si="203"/>
        <v>0</v>
      </c>
      <c r="CP129" s="303" t="e">
        <f>CO129/CO124</f>
        <v>#DIV/0!</v>
      </c>
      <c r="CQ129" s="249"/>
      <c r="CR129" s="249"/>
      <c r="CS129" s="249"/>
      <c r="CT129" s="249"/>
      <c r="CU129" s="249"/>
      <c r="CV129" s="297">
        <f t="shared" si="204"/>
        <v>0</v>
      </c>
      <c r="CW129" s="303" t="e">
        <f>CV129/CV124</f>
        <v>#DIV/0!</v>
      </c>
      <c r="CX129" s="249"/>
      <c r="CY129" s="249"/>
      <c r="CZ129" s="249"/>
      <c r="DA129" s="249"/>
      <c r="DB129" s="249"/>
      <c r="DC129" s="297">
        <f t="shared" si="205"/>
        <v>0</v>
      </c>
      <c r="DD129" s="303" t="e">
        <f>DC129/DC124</f>
        <v>#DIV/0!</v>
      </c>
      <c r="DE129" s="249"/>
      <c r="DF129" s="249"/>
      <c r="DG129" s="249"/>
      <c r="DH129" s="249"/>
      <c r="DI129" s="249"/>
      <c r="DJ129" s="297">
        <f t="shared" si="206"/>
        <v>0</v>
      </c>
      <c r="DK129" s="303" t="e">
        <f>DJ129/DJ124</f>
        <v>#DIV/0!</v>
      </c>
      <c r="DL129" s="249"/>
      <c r="DM129" s="249"/>
      <c r="DN129" s="249"/>
      <c r="DO129" s="249"/>
      <c r="DP129" s="249"/>
      <c r="DQ129" s="297">
        <f t="shared" si="207"/>
        <v>0</v>
      </c>
      <c r="DR129" s="303" t="e">
        <f>DQ129/DQ124</f>
        <v>#DIV/0!</v>
      </c>
      <c r="DS129" s="249"/>
      <c r="DT129" s="249"/>
      <c r="DU129" s="249"/>
      <c r="DV129" s="249"/>
      <c r="DW129" s="249"/>
      <c r="DX129" s="297">
        <f t="shared" si="208"/>
        <v>0</v>
      </c>
      <c r="DY129" s="303" t="e">
        <f>DX129/DX124</f>
        <v>#DIV/0!</v>
      </c>
      <c r="DZ129" s="249"/>
      <c r="EA129" s="249"/>
      <c r="EB129" s="249"/>
      <c r="EC129" s="249"/>
      <c r="ED129" s="249"/>
      <c r="EE129" s="297">
        <f t="shared" si="209"/>
        <v>0</v>
      </c>
      <c r="EF129" s="303" t="e">
        <f>EE129/EE124</f>
        <v>#DIV/0!</v>
      </c>
      <c r="EG129" s="249"/>
      <c r="EH129" s="249"/>
      <c r="EI129" s="249"/>
      <c r="EJ129" s="249"/>
      <c r="EK129" s="249"/>
      <c r="EL129" s="297">
        <f t="shared" si="210"/>
        <v>0</v>
      </c>
      <c r="EM129" s="303" t="e">
        <f>EL129/EL124</f>
        <v>#DIV/0!</v>
      </c>
      <c r="EN129" s="249"/>
      <c r="EO129" s="249"/>
      <c r="EP129" s="249"/>
      <c r="EQ129" s="249"/>
      <c r="ER129" s="249"/>
      <c r="ES129" s="297">
        <f t="shared" si="211"/>
        <v>0</v>
      </c>
      <c r="ET129" s="303" t="e">
        <f>ES129/ES124</f>
        <v>#DIV/0!</v>
      </c>
      <c r="EU129" s="249"/>
      <c r="EV129" s="249"/>
      <c r="EW129" s="249"/>
      <c r="EX129" s="249"/>
      <c r="EY129" s="249"/>
      <c r="EZ129" s="297">
        <f t="shared" si="212"/>
        <v>0</v>
      </c>
      <c r="FA129" s="303" t="e">
        <f>EZ129/EZ124</f>
        <v>#DIV/0!</v>
      </c>
      <c r="FB129" s="249"/>
      <c r="FC129" s="249"/>
      <c r="FD129" s="249"/>
      <c r="FE129" s="249"/>
      <c r="FF129" s="249"/>
      <c r="FG129" s="297">
        <f t="shared" si="213"/>
        <v>0</v>
      </c>
      <c r="FH129" s="303" t="e">
        <f>FG129/FG124</f>
        <v>#DIV/0!</v>
      </c>
      <c r="FI129" s="249"/>
      <c r="FJ129" s="249"/>
      <c r="FK129" s="249"/>
      <c r="FL129" s="249"/>
      <c r="FM129" s="249"/>
      <c r="FN129" s="297">
        <f t="shared" si="214"/>
        <v>0</v>
      </c>
      <c r="FO129" s="303" t="e">
        <f>FN129/FN124</f>
        <v>#DIV/0!</v>
      </c>
      <c r="FP129" s="249"/>
      <c r="FQ129" s="249"/>
      <c r="FR129" s="249"/>
      <c r="FS129" s="249"/>
      <c r="FT129" s="249"/>
      <c r="FU129" s="297">
        <f t="shared" si="215"/>
        <v>0</v>
      </c>
      <c r="FV129" s="303" t="e">
        <f>FU129/FU124</f>
        <v>#DIV/0!</v>
      </c>
      <c r="FW129" s="249"/>
      <c r="FX129" s="249"/>
      <c r="FY129" s="249"/>
      <c r="FZ129" s="249"/>
      <c r="GA129" s="249"/>
    </row>
    <row r="130" spans="1:183" ht="12.75">
      <c r="A130" s="305" t="s">
        <v>104</v>
      </c>
      <c r="B130" s="297">
        <f t="shared" si="190"/>
        <v>0</v>
      </c>
      <c r="C130" s="303" t="e">
        <f>B130/B124</f>
        <v>#DIV/0!</v>
      </c>
      <c r="D130" s="249"/>
      <c r="E130" s="249"/>
      <c r="F130" s="249"/>
      <c r="G130" s="249"/>
      <c r="H130" s="249"/>
      <c r="I130" s="297">
        <f t="shared" si="191"/>
        <v>0</v>
      </c>
      <c r="J130" s="303" t="e">
        <f>I130/I124</f>
        <v>#DIV/0!</v>
      </c>
      <c r="K130" s="249"/>
      <c r="L130" s="249"/>
      <c r="M130" s="249"/>
      <c r="N130" s="249"/>
      <c r="O130" s="249"/>
      <c r="P130" s="297">
        <f t="shared" si="192"/>
        <v>0</v>
      </c>
      <c r="Q130" s="303" t="e">
        <f>P130/P124</f>
        <v>#DIV/0!</v>
      </c>
      <c r="R130" s="249"/>
      <c r="S130" s="249"/>
      <c r="T130" s="249"/>
      <c r="U130" s="249"/>
      <c r="V130" s="249"/>
      <c r="W130" s="297">
        <f t="shared" si="193"/>
        <v>0</v>
      </c>
      <c r="X130" s="303" t="e">
        <f>W130/W124</f>
        <v>#DIV/0!</v>
      </c>
      <c r="Y130" s="249"/>
      <c r="Z130" s="249"/>
      <c r="AA130" s="249"/>
      <c r="AB130" s="249"/>
      <c r="AC130" s="249"/>
      <c r="AD130" s="297">
        <f t="shared" si="194"/>
        <v>0</v>
      </c>
      <c r="AE130" s="303" t="e">
        <f>AD130/AD124</f>
        <v>#DIV/0!</v>
      </c>
      <c r="AF130" s="249"/>
      <c r="AG130" s="249"/>
      <c r="AH130" s="249"/>
      <c r="AI130" s="249"/>
      <c r="AJ130" s="249"/>
      <c r="AK130" s="297">
        <f t="shared" si="195"/>
        <v>0</v>
      </c>
      <c r="AL130" s="303" t="e">
        <f>AK130/AK124</f>
        <v>#DIV/0!</v>
      </c>
      <c r="AM130" s="249"/>
      <c r="AN130" s="249"/>
      <c r="AO130" s="249"/>
      <c r="AP130" s="249"/>
      <c r="AQ130" s="249"/>
      <c r="AR130" s="297">
        <f t="shared" si="196"/>
        <v>0</v>
      </c>
      <c r="AS130" s="303" t="e">
        <f>AR130/AR124</f>
        <v>#DIV/0!</v>
      </c>
      <c r="AT130" s="249"/>
      <c r="AU130" s="249"/>
      <c r="AV130" s="249"/>
      <c r="AW130" s="249"/>
      <c r="AX130" s="249"/>
      <c r="AY130" s="297">
        <f t="shared" si="197"/>
        <v>0</v>
      </c>
      <c r="AZ130" s="303" t="e">
        <f>AY130/AY124</f>
        <v>#DIV/0!</v>
      </c>
      <c r="BA130" s="249"/>
      <c r="BB130" s="249"/>
      <c r="BC130" s="249"/>
      <c r="BD130" s="249"/>
      <c r="BE130" s="249"/>
      <c r="BF130" s="297">
        <f t="shared" si="198"/>
        <v>0</v>
      </c>
      <c r="BG130" s="303" t="e">
        <f>BF130/BF124</f>
        <v>#DIV/0!</v>
      </c>
      <c r="BH130" s="249"/>
      <c r="BI130" s="249"/>
      <c r="BJ130" s="249"/>
      <c r="BK130" s="249"/>
      <c r="BL130" s="249"/>
      <c r="BM130" s="297">
        <f t="shared" si="199"/>
        <v>0</v>
      </c>
      <c r="BN130" s="303" t="e">
        <f>BM130/BM124</f>
        <v>#DIV/0!</v>
      </c>
      <c r="BO130" s="249"/>
      <c r="BP130" s="249"/>
      <c r="BQ130" s="249"/>
      <c r="BR130" s="249"/>
      <c r="BS130" s="249"/>
      <c r="BT130" s="297">
        <f t="shared" si="200"/>
        <v>0</v>
      </c>
      <c r="BU130" s="303" t="e">
        <f>BT130/BT124</f>
        <v>#DIV/0!</v>
      </c>
      <c r="BV130" s="249"/>
      <c r="BW130" s="249"/>
      <c r="BX130" s="249"/>
      <c r="BY130" s="249"/>
      <c r="BZ130" s="249"/>
      <c r="CA130" s="297">
        <f t="shared" si="201"/>
        <v>0</v>
      </c>
      <c r="CB130" s="303" t="e">
        <f>CA130/CA124</f>
        <v>#DIV/0!</v>
      </c>
      <c r="CC130" s="249"/>
      <c r="CD130" s="249"/>
      <c r="CE130" s="249"/>
      <c r="CF130" s="249"/>
      <c r="CG130" s="249"/>
      <c r="CH130" s="297">
        <f t="shared" si="202"/>
        <v>0</v>
      </c>
      <c r="CI130" s="303" t="e">
        <f>CH130/CH124</f>
        <v>#DIV/0!</v>
      </c>
      <c r="CJ130" s="249"/>
      <c r="CK130" s="249"/>
      <c r="CL130" s="249"/>
      <c r="CM130" s="249"/>
      <c r="CN130" s="249"/>
      <c r="CO130" s="297">
        <f t="shared" si="203"/>
        <v>0</v>
      </c>
      <c r="CP130" s="303" t="e">
        <f>CO130/CO124</f>
        <v>#DIV/0!</v>
      </c>
      <c r="CQ130" s="249"/>
      <c r="CR130" s="249"/>
      <c r="CS130" s="249"/>
      <c r="CT130" s="249"/>
      <c r="CU130" s="249"/>
      <c r="CV130" s="297">
        <f t="shared" si="204"/>
        <v>0</v>
      </c>
      <c r="CW130" s="303" t="e">
        <f>CV130/CV124</f>
        <v>#DIV/0!</v>
      </c>
      <c r="CX130" s="249"/>
      <c r="CY130" s="249"/>
      <c r="CZ130" s="249"/>
      <c r="DA130" s="249"/>
      <c r="DB130" s="249"/>
      <c r="DC130" s="297">
        <f t="shared" si="205"/>
        <v>0</v>
      </c>
      <c r="DD130" s="303" t="e">
        <f>DC130/DC124</f>
        <v>#DIV/0!</v>
      </c>
      <c r="DE130" s="249"/>
      <c r="DF130" s="249"/>
      <c r="DG130" s="249"/>
      <c r="DH130" s="249"/>
      <c r="DI130" s="249"/>
      <c r="DJ130" s="297">
        <f t="shared" si="206"/>
        <v>0</v>
      </c>
      <c r="DK130" s="303" t="e">
        <f>DJ130/DJ124</f>
        <v>#DIV/0!</v>
      </c>
      <c r="DL130" s="249"/>
      <c r="DM130" s="249"/>
      <c r="DN130" s="249"/>
      <c r="DO130" s="249"/>
      <c r="DP130" s="249"/>
      <c r="DQ130" s="297">
        <f t="shared" si="207"/>
        <v>0</v>
      </c>
      <c r="DR130" s="303" t="e">
        <f>DQ130/DQ124</f>
        <v>#DIV/0!</v>
      </c>
      <c r="DS130" s="249"/>
      <c r="DT130" s="249"/>
      <c r="DU130" s="249"/>
      <c r="DV130" s="249"/>
      <c r="DW130" s="249"/>
      <c r="DX130" s="297">
        <f t="shared" si="208"/>
        <v>0</v>
      </c>
      <c r="DY130" s="303" t="e">
        <f>DX130/DX124</f>
        <v>#DIV/0!</v>
      </c>
      <c r="DZ130" s="249"/>
      <c r="EA130" s="249"/>
      <c r="EB130" s="249"/>
      <c r="EC130" s="249"/>
      <c r="ED130" s="249"/>
      <c r="EE130" s="297">
        <f t="shared" si="209"/>
        <v>0</v>
      </c>
      <c r="EF130" s="303" t="e">
        <f>EE130/EE124</f>
        <v>#DIV/0!</v>
      </c>
      <c r="EG130" s="249"/>
      <c r="EH130" s="249"/>
      <c r="EI130" s="249"/>
      <c r="EJ130" s="249"/>
      <c r="EK130" s="249"/>
      <c r="EL130" s="297">
        <f t="shared" si="210"/>
        <v>0</v>
      </c>
      <c r="EM130" s="303" t="e">
        <f>EL130/EL124</f>
        <v>#DIV/0!</v>
      </c>
      <c r="EN130" s="249"/>
      <c r="EO130" s="249"/>
      <c r="EP130" s="249"/>
      <c r="EQ130" s="249"/>
      <c r="ER130" s="249"/>
      <c r="ES130" s="297">
        <f t="shared" si="211"/>
        <v>0</v>
      </c>
      <c r="ET130" s="303" t="e">
        <f>ES130/ES124</f>
        <v>#DIV/0!</v>
      </c>
      <c r="EU130" s="249"/>
      <c r="EV130" s="249"/>
      <c r="EW130" s="249"/>
      <c r="EX130" s="249"/>
      <c r="EY130" s="249"/>
      <c r="EZ130" s="297">
        <f t="shared" si="212"/>
        <v>0</v>
      </c>
      <c r="FA130" s="303" t="e">
        <f>EZ130/EZ124</f>
        <v>#DIV/0!</v>
      </c>
      <c r="FB130" s="249"/>
      <c r="FC130" s="249"/>
      <c r="FD130" s="249"/>
      <c r="FE130" s="249"/>
      <c r="FF130" s="249"/>
      <c r="FG130" s="297">
        <f t="shared" si="213"/>
        <v>0</v>
      </c>
      <c r="FH130" s="303" t="e">
        <f>FG130/FG124</f>
        <v>#DIV/0!</v>
      </c>
      <c r="FI130" s="249"/>
      <c r="FJ130" s="249"/>
      <c r="FK130" s="249"/>
      <c r="FL130" s="249"/>
      <c r="FM130" s="249"/>
      <c r="FN130" s="297">
        <f t="shared" si="214"/>
        <v>0</v>
      </c>
      <c r="FO130" s="303" t="e">
        <f>FN130/FN124</f>
        <v>#DIV/0!</v>
      </c>
      <c r="FP130" s="249"/>
      <c r="FQ130" s="249"/>
      <c r="FR130" s="249"/>
      <c r="FS130" s="249"/>
      <c r="FT130" s="249"/>
      <c r="FU130" s="297">
        <f t="shared" si="215"/>
        <v>0</v>
      </c>
      <c r="FV130" s="303" t="e">
        <f>FU130/FU124</f>
        <v>#DIV/0!</v>
      </c>
      <c r="FW130" s="249"/>
      <c r="FX130" s="249"/>
      <c r="FY130" s="249"/>
      <c r="FZ130" s="249"/>
      <c r="GA130" s="249"/>
    </row>
    <row r="131" spans="1:183" ht="12.75">
      <c r="A131" s="307" t="s">
        <v>283</v>
      </c>
      <c r="B131" s="297">
        <f aca="true" t="shared" si="216" ref="B131:B137">SUM(B99:H99)</f>
        <v>0</v>
      </c>
      <c r="C131" s="303">
        <v>1</v>
      </c>
      <c r="D131" s="249"/>
      <c r="E131" s="249"/>
      <c r="F131" s="249"/>
      <c r="G131" s="249"/>
      <c r="H131" s="249"/>
      <c r="I131" s="297">
        <f aca="true" t="shared" si="217" ref="I131:I137">SUM(I99:O99)</f>
        <v>0</v>
      </c>
      <c r="J131" s="303">
        <v>1</v>
      </c>
      <c r="K131" s="249"/>
      <c r="L131" s="249"/>
      <c r="M131" s="249"/>
      <c r="N131" s="249"/>
      <c r="O131" s="249"/>
      <c r="P131" s="297">
        <f aca="true" t="shared" si="218" ref="P131:P137">SUM(P99:V99)</f>
        <v>0</v>
      </c>
      <c r="Q131" s="303">
        <v>1</v>
      </c>
      <c r="R131" s="249"/>
      <c r="S131" s="249"/>
      <c r="T131" s="249"/>
      <c r="U131" s="249"/>
      <c r="V131" s="249"/>
      <c r="W131" s="297">
        <f aca="true" t="shared" si="219" ref="W131:W137">SUM(W99:AC99)</f>
        <v>0</v>
      </c>
      <c r="X131" s="303">
        <v>1</v>
      </c>
      <c r="Y131" s="249"/>
      <c r="Z131" s="249"/>
      <c r="AA131" s="249"/>
      <c r="AB131" s="249"/>
      <c r="AC131" s="249"/>
      <c r="AD131" s="297">
        <f aca="true" t="shared" si="220" ref="AD131:AD137">SUM(AD99:AJ99)</f>
        <v>0</v>
      </c>
      <c r="AE131" s="303">
        <v>1</v>
      </c>
      <c r="AF131" s="249"/>
      <c r="AG131" s="249"/>
      <c r="AH131" s="249"/>
      <c r="AI131" s="249"/>
      <c r="AJ131" s="249"/>
      <c r="AK131" s="297">
        <f aca="true" t="shared" si="221" ref="AK131:AK137">SUM(AK99:AQ99)</f>
        <v>0</v>
      </c>
      <c r="AL131" s="303">
        <v>1</v>
      </c>
      <c r="AM131" s="249"/>
      <c r="AN131" s="249"/>
      <c r="AO131" s="249"/>
      <c r="AP131" s="249"/>
      <c r="AQ131" s="249"/>
      <c r="AR131" s="297">
        <f aca="true" t="shared" si="222" ref="AR131:AR137">SUM(AR99:AX99)</f>
        <v>0</v>
      </c>
      <c r="AS131" s="303">
        <v>1</v>
      </c>
      <c r="AT131" s="249"/>
      <c r="AU131" s="249"/>
      <c r="AV131" s="249"/>
      <c r="AW131" s="249"/>
      <c r="AX131" s="249"/>
      <c r="AY131" s="297">
        <f aca="true" t="shared" si="223" ref="AY131:AY137">SUM(AY99:BE99)</f>
        <v>0</v>
      </c>
      <c r="AZ131" s="303">
        <v>1</v>
      </c>
      <c r="BA131" s="249"/>
      <c r="BB131" s="249"/>
      <c r="BC131" s="249"/>
      <c r="BD131" s="249"/>
      <c r="BE131" s="249"/>
      <c r="BF131" s="297">
        <f aca="true" t="shared" si="224" ref="BF131:BF137">SUM(BF99:BL99)</f>
        <v>0</v>
      </c>
      <c r="BG131" s="303">
        <v>1</v>
      </c>
      <c r="BH131" s="249"/>
      <c r="BI131" s="249"/>
      <c r="BJ131" s="249"/>
      <c r="BK131" s="249"/>
      <c r="BL131" s="249"/>
      <c r="BM131" s="297">
        <f aca="true" t="shared" si="225" ref="BM131:BM137">SUM(BM99:BS99)</f>
        <v>0</v>
      </c>
      <c r="BN131" s="303">
        <v>1</v>
      </c>
      <c r="BO131" s="249"/>
      <c r="BP131" s="249"/>
      <c r="BQ131" s="249"/>
      <c r="BR131" s="249"/>
      <c r="BS131" s="249"/>
      <c r="BT131" s="297">
        <f aca="true" t="shared" si="226" ref="BT131:BT137">SUM(BT99:BZ99)</f>
        <v>0</v>
      </c>
      <c r="BU131" s="303">
        <v>1</v>
      </c>
      <c r="BV131" s="249"/>
      <c r="BW131" s="249"/>
      <c r="BX131" s="249"/>
      <c r="BY131" s="249"/>
      <c r="BZ131" s="249"/>
      <c r="CA131" s="297">
        <f aca="true" t="shared" si="227" ref="CA131:CA137">SUM(CA99:CG99)</f>
        <v>0</v>
      </c>
      <c r="CB131" s="303">
        <v>1</v>
      </c>
      <c r="CC131" s="249"/>
      <c r="CD131" s="249"/>
      <c r="CE131" s="249"/>
      <c r="CF131" s="249"/>
      <c r="CG131" s="249"/>
      <c r="CH131" s="297">
        <f aca="true" t="shared" si="228" ref="CH131:CH137">SUM(CH99:CN99)</f>
        <v>0</v>
      </c>
      <c r="CI131" s="303">
        <v>1</v>
      </c>
      <c r="CJ131" s="249"/>
      <c r="CK131" s="249"/>
      <c r="CL131" s="249"/>
      <c r="CM131" s="249"/>
      <c r="CN131" s="249"/>
      <c r="CO131" s="297">
        <f aca="true" t="shared" si="229" ref="CO131:CO137">SUM(CO99:CU99)</f>
        <v>0</v>
      </c>
      <c r="CP131" s="303">
        <v>1</v>
      </c>
      <c r="CQ131" s="249"/>
      <c r="CR131" s="249"/>
      <c r="CS131" s="249"/>
      <c r="CT131" s="249"/>
      <c r="CU131" s="249"/>
      <c r="CV131" s="297">
        <f aca="true" t="shared" si="230" ref="CV131:CV137">SUM(CV99:DB99)</f>
        <v>0</v>
      </c>
      <c r="CW131" s="303">
        <v>1</v>
      </c>
      <c r="CX131" s="249"/>
      <c r="CY131" s="249"/>
      <c r="CZ131" s="249"/>
      <c r="DA131" s="249"/>
      <c r="DB131" s="249"/>
      <c r="DC131" s="297">
        <f aca="true" t="shared" si="231" ref="DC131:DC137">SUM(DC99:DI99)</f>
        <v>0</v>
      </c>
      <c r="DD131" s="303">
        <v>1</v>
      </c>
      <c r="DE131" s="249"/>
      <c r="DF131" s="249"/>
      <c r="DG131" s="249"/>
      <c r="DH131" s="249"/>
      <c r="DI131" s="249"/>
      <c r="DJ131" s="297">
        <f aca="true" t="shared" si="232" ref="DJ131:DJ137">SUM(DJ99:DP99)</f>
        <v>0</v>
      </c>
      <c r="DK131" s="303">
        <v>1</v>
      </c>
      <c r="DL131" s="249"/>
      <c r="DM131" s="249"/>
      <c r="DN131" s="249"/>
      <c r="DO131" s="249"/>
      <c r="DP131" s="249"/>
      <c r="DQ131" s="297">
        <f aca="true" t="shared" si="233" ref="DQ131:DQ137">SUM(DQ99:DW99)</f>
        <v>0</v>
      </c>
      <c r="DR131" s="303">
        <v>1</v>
      </c>
      <c r="DS131" s="249"/>
      <c r="DT131" s="249"/>
      <c r="DU131" s="249"/>
      <c r="DV131" s="249"/>
      <c r="DW131" s="249"/>
      <c r="DX131" s="297">
        <f aca="true" t="shared" si="234" ref="DX131:DX137">SUM(DX99:ED99)</f>
        <v>0</v>
      </c>
      <c r="DY131" s="303">
        <v>1</v>
      </c>
      <c r="DZ131" s="249"/>
      <c r="EA131" s="249"/>
      <c r="EB131" s="249"/>
      <c r="EC131" s="249"/>
      <c r="ED131" s="249"/>
      <c r="EE131" s="297">
        <f aca="true" t="shared" si="235" ref="EE131:EE137">SUM(EE99:EK99)</f>
        <v>0</v>
      </c>
      <c r="EF131" s="303">
        <v>1</v>
      </c>
      <c r="EG131" s="249"/>
      <c r="EH131" s="249"/>
      <c r="EI131" s="249"/>
      <c r="EJ131" s="249"/>
      <c r="EK131" s="249"/>
      <c r="EL131" s="297">
        <f aca="true" t="shared" si="236" ref="EL131:EL137">SUM(EL99:ER99)</f>
        <v>0</v>
      </c>
      <c r="EM131" s="303">
        <v>1</v>
      </c>
      <c r="EN131" s="249"/>
      <c r="EO131" s="249"/>
      <c r="EP131" s="249"/>
      <c r="EQ131" s="249"/>
      <c r="ER131" s="249"/>
      <c r="ES131" s="297">
        <f aca="true" t="shared" si="237" ref="ES131:ES137">SUM(ES99:EY99)</f>
        <v>0</v>
      </c>
      <c r="ET131" s="303">
        <v>1</v>
      </c>
      <c r="EU131" s="249"/>
      <c r="EV131" s="249"/>
      <c r="EW131" s="249"/>
      <c r="EX131" s="249"/>
      <c r="EY131" s="249"/>
      <c r="EZ131" s="297">
        <f aca="true" t="shared" si="238" ref="EZ131:EZ137">SUM(EZ99:FF99)</f>
        <v>0</v>
      </c>
      <c r="FA131" s="303">
        <v>1</v>
      </c>
      <c r="FB131" s="249"/>
      <c r="FC131" s="249"/>
      <c r="FD131" s="249"/>
      <c r="FE131" s="249"/>
      <c r="FF131" s="249"/>
      <c r="FG131" s="297">
        <f aca="true" t="shared" si="239" ref="FG131:FG137">SUM(FG99:FM99)</f>
        <v>0</v>
      </c>
      <c r="FH131" s="303">
        <v>1</v>
      </c>
      <c r="FI131" s="249"/>
      <c r="FJ131" s="249"/>
      <c r="FK131" s="249"/>
      <c r="FL131" s="249"/>
      <c r="FM131" s="249"/>
      <c r="FN131" s="297">
        <f aca="true" t="shared" si="240" ref="FN131:FN137">SUM(FN99:FT99)</f>
        <v>0</v>
      </c>
      <c r="FO131" s="303">
        <v>1</v>
      </c>
      <c r="FP131" s="249"/>
      <c r="FQ131" s="249"/>
      <c r="FR131" s="249"/>
      <c r="FS131" s="249"/>
      <c r="FT131" s="249"/>
      <c r="FU131" s="297">
        <f aca="true" t="shared" si="241" ref="FU131:FU137">SUM(FU99:GA99)</f>
        <v>0</v>
      </c>
      <c r="FV131" s="303">
        <v>1</v>
      </c>
      <c r="FW131" s="249"/>
      <c r="FX131" s="249"/>
      <c r="FY131" s="249"/>
      <c r="FZ131" s="249"/>
      <c r="GA131" s="249"/>
    </row>
    <row r="132" spans="1:183" ht="12.75">
      <c r="A132" s="304" t="s">
        <v>0</v>
      </c>
      <c r="B132" s="297">
        <f t="shared" si="216"/>
        <v>0</v>
      </c>
      <c r="C132" s="303" t="e">
        <f>B132/B131</f>
        <v>#DIV/0!</v>
      </c>
      <c r="D132" s="249"/>
      <c r="E132" s="249"/>
      <c r="F132" s="249"/>
      <c r="G132" s="249"/>
      <c r="H132" s="249"/>
      <c r="I132" s="297">
        <f t="shared" si="217"/>
        <v>0</v>
      </c>
      <c r="J132" s="303" t="e">
        <f>I132/I131</f>
        <v>#DIV/0!</v>
      </c>
      <c r="K132" s="249"/>
      <c r="L132" s="249"/>
      <c r="M132" s="249"/>
      <c r="N132" s="249"/>
      <c r="O132" s="249"/>
      <c r="P132" s="297">
        <f t="shared" si="218"/>
        <v>0</v>
      </c>
      <c r="Q132" s="303" t="e">
        <f>P132/P131</f>
        <v>#DIV/0!</v>
      </c>
      <c r="R132" s="249"/>
      <c r="S132" s="249"/>
      <c r="T132" s="249"/>
      <c r="U132" s="249"/>
      <c r="V132" s="249"/>
      <c r="W132" s="297">
        <f t="shared" si="219"/>
        <v>0</v>
      </c>
      <c r="X132" s="303" t="e">
        <f>W132/W131</f>
        <v>#DIV/0!</v>
      </c>
      <c r="Y132" s="249"/>
      <c r="Z132" s="249"/>
      <c r="AA132" s="249"/>
      <c r="AB132" s="249"/>
      <c r="AC132" s="249"/>
      <c r="AD132" s="297">
        <f t="shared" si="220"/>
        <v>0</v>
      </c>
      <c r="AE132" s="303" t="e">
        <f>AD132/AD131</f>
        <v>#DIV/0!</v>
      </c>
      <c r="AF132" s="249"/>
      <c r="AG132" s="249"/>
      <c r="AH132" s="249"/>
      <c r="AI132" s="249"/>
      <c r="AJ132" s="249"/>
      <c r="AK132" s="297">
        <f t="shared" si="221"/>
        <v>0</v>
      </c>
      <c r="AL132" s="303" t="e">
        <f>AK132/AK131</f>
        <v>#DIV/0!</v>
      </c>
      <c r="AM132" s="249"/>
      <c r="AN132" s="249"/>
      <c r="AO132" s="249"/>
      <c r="AP132" s="249"/>
      <c r="AQ132" s="249"/>
      <c r="AR132" s="297">
        <f t="shared" si="222"/>
        <v>0</v>
      </c>
      <c r="AS132" s="303" t="e">
        <f>AR132/AR131</f>
        <v>#DIV/0!</v>
      </c>
      <c r="AT132" s="249"/>
      <c r="AU132" s="249"/>
      <c r="AV132" s="249"/>
      <c r="AW132" s="249"/>
      <c r="AX132" s="249"/>
      <c r="AY132" s="297">
        <f t="shared" si="223"/>
        <v>0</v>
      </c>
      <c r="AZ132" s="303" t="e">
        <f>AY132/AY131</f>
        <v>#DIV/0!</v>
      </c>
      <c r="BA132" s="249"/>
      <c r="BB132" s="249"/>
      <c r="BC132" s="249"/>
      <c r="BD132" s="249"/>
      <c r="BE132" s="249"/>
      <c r="BF132" s="297">
        <f t="shared" si="224"/>
        <v>0</v>
      </c>
      <c r="BG132" s="303" t="e">
        <f>BF132/BF131</f>
        <v>#DIV/0!</v>
      </c>
      <c r="BH132" s="249"/>
      <c r="BI132" s="249"/>
      <c r="BJ132" s="249"/>
      <c r="BK132" s="249"/>
      <c r="BL132" s="249"/>
      <c r="BM132" s="297">
        <f t="shared" si="225"/>
        <v>0</v>
      </c>
      <c r="BN132" s="303" t="e">
        <f>BM132/BM131</f>
        <v>#DIV/0!</v>
      </c>
      <c r="BO132" s="249"/>
      <c r="BP132" s="249"/>
      <c r="BQ132" s="249"/>
      <c r="BR132" s="249"/>
      <c r="BS132" s="249"/>
      <c r="BT132" s="297">
        <f t="shared" si="226"/>
        <v>0</v>
      </c>
      <c r="BU132" s="303" t="e">
        <f>BT132/BT131</f>
        <v>#DIV/0!</v>
      </c>
      <c r="BV132" s="249"/>
      <c r="BW132" s="249"/>
      <c r="BX132" s="249"/>
      <c r="BY132" s="249"/>
      <c r="BZ132" s="249"/>
      <c r="CA132" s="297">
        <f t="shared" si="227"/>
        <v>0</v>
      </c>
      <c r="CB132" s="303" t="e">
        <f>CA132/CA131</f>
        <v>#DIV/0!</v>
      </c>
      <c r="CC132" s="249"/>
      <c r="CD132" s="249"/>
      <c r="CE132" s="249"/>
      <c r="CF132" s="249"/>
      <c r="CG132" s="249"/>
      <c r="CH132" s="297">
        <f t="shared" si="228"/>
        <v>0</v>
      </c>
      <c r="CI132" s="303" t="e">
        <f>CH132/CH131</f>
        <v>#DIV/0!</v>
      </c>
      <c r="CJ132" s="249"/>
      <c r="CK132" s="249"/>
      <c r="CL132" s="249"/>
      <c r="CM132" s="249"/>
      <c r="CN132" s="249"/>
      <c r="CO132" s="297">
        <f t="shared" si="229"/>
        <v>0</v>
      </c>
      <c r="CP132" s="303" t="e">
        <f>CO132/CO131</f>
        <v>#DIV/0!</v>
      </c>
      <c r="CQ132" s="249"/>
      <c r="CR132" s="249"/>
      <c r="CS132" s="249"/>
      <c r="CT132" s="249"/>
      <c r="CU132" s="249"/>
      <c r="CV132" s="297">
        <f t="shared" si="230"/>
        <v>0</v>
      </c>
      <c r="CW132" s="303" t="e">
        <f>CV132/CV131</f>
        <v>#DIV/0!</v>
      </c>
      <c r="CX132" s="249"/>
      <c r="CY132" s="249"/>
      <c r="CZ132" s="249"/>
      <c r="DA132" s="249"/>
      <c r="DB132" s="249"/>
      <c r="DC132" s="297">
        <f t="shared" si="231"/>
        <v>0</v>
      </c>
      <c r="DD132" s="303" t="e">
        <f>DC132/DC131</f>
        <v>#DIV/0!</v>
      </c>
      <c r="DE132" s="249"/>
      <c r="DF132" s="249"/>
      <c r="DG132" s="249"/>
      <c r="DH132" s="249"/>
      <c r="DI132" s="249"/>
      <c r="DJ132" s="297">
        <f t="shared" si="232"/>
        <v>0</v>
      </c>
      <c r="DK132" s="303" t="e">
        <f>DJ132/DJ131</f>
        <v>#DIV/0!</v>
      </c>
      <c r="DL132" s="249"/>
      <c r="DM132" s="249"/>
      <c r="DN132" s="249"/>
      <c r="DO132" s="249"/>
      <c r="DP132" s="249"/>
      <c r="DQ132" s="297">
        <f t="shared" si="233"/>
        <v>0</v>
      </c>
      <c r="DR132" s="303" t="e">
        <f>DQ132/DQ131</f>
        <v>#DIV/0!</v>
      </c>
      <c r="DS132" s="249"/>
      <c r="DT132" s="249"/>
      <c r="DU132" s="249"/>
      <c r="DV132" s="249"/>
      <c r="DW132" s="249"/>
      <c r="DX132" s="297">
        <f t="shared" si="234"/>
        <v>0</v>
      </c>
      <c r="DY132" s="303" t="e">
        <f>DX132/DX131</f>
        <v>#DIV/0!</v>
      </c>
      <c r="DZ132" s="249"/>
      <c r="EA132" s="249"/>
      <c r="EB132" s="249"/>
      <c r="EC132" s="249"/>
      <c r="ED132" s="249"/>
      <c r="EE132" s="297">
        <f t="shared" si="235"/>
        <v>0</v>
      </c>
      <c r="EF132" s="303" t="e">
        <f>EE132/EE131</f>
        <v>#DIV/0!</v>
      </c>
      <c r="EG132" s="249"/>
      <c r="EH132" s="249"/>
      <c r="EI132" s="249"/>
      <c r="EJ132" s="249"/>
      <c r="EK132" s="249"/>
      <c r="EL132" s="297">
        <f t="shared" si="236"/>
        <v>0</v>
      </c>
      <c r="EM132" s="303" t="e">
        <f>EL132/EL131</f>
        <v>#DIV/0!</v>
      </c>
      <c r="EN132" s="249"/>
      <c r="EO132" s="249"/>
      <c r="EP132" s="249"/>
      <c r="EQ132" s="249"/>
      <c r="ER132" s="249"/>
      <c r="ES132" s="297">
        <f t="shared" si="237"/>
        <v>0</v>
      </c>
      <c r="ET132" s="303" t="e">
        <f>ES132/ES131</f>
        <v>#DIV/0!</v>
      </c>
      <c r="EU132" s="249"/>
      <c r="EV132" s="249"/>
      <c r="EW132" s="249"/>
      <c r="EX132" s="249"/>
      <c r="EY132" s="249"/>
      <c r="EZ132" s="297">
        <f t="shared" si="238"/>
        <v>0</v>
      </c>
      <c r="FA132" s="303" t="e">
        <f>EZ132/EZ131</f>
        <v>#DIV/0!</v>
      </c>
      <c r="FB132" s="249"/>
      <c r="FC132" s="249"/>
      <c r="FD132" s="249"/>
      <c r="FE132" s="249"/>
      <c r="FF132" s="249"/>
      <c r="FG132" s="297">
        <f t="shared" si="239"/>
        <v>0</v>
      </c>
      <c r="FH132" s="303" t="e">
        <f>FG132/FG131</f>
        <v>#DIV/0!</v>
      </c>
      <c r="FI132" s="249"/>
      <c r="FJ132" s="249"/>
      <c r="FK132" s="249"/>
      <c r="FL132" s="249"/>
      <c r="FM132" s="249"/>
      <c r="FN132" s="297">
        <f t="shared" si="240"/>
        <v>0</v>
      </c>
      <c r="FO132" s="303" t="e">
        <f>FN132/FN131</f>
        <v>#DIV/0!</v>
      </c>
      <c r="FP132" s="249"/>
      <c r="FQ132" s="249"/>
      <c r="FR132" s="249"/>
      <c r="FS132" s="249"/>
      <c r="FT132" s="249"/>
      <c r="FU132" s="297">
        <f t="shared" si="241"/>
        <v>0</v>
      </c>
      <c r="FV132" s="303" t="e">
        <f>FU132/FU131</f>
        <v>#DIV/0!</v>
      </c>
      <c r="FW132" s="249"/>
      <c r="FX132" s="249"/>
      <c r="FY132" s="249"/>
      <c r="FZ132" s="249"/>
      <c r="GA132" s="249"/>
    </row>
    <row r="133" spans="1:183" ht="12.75">
      <c r="A133" s="304" t="s">
        <v>1</v>
      </c>
      <c r="B133" s="297">
        <f t="shared" si="216"/>
        <v>0</v>
      </c>
      <c r="C133" s="303" t="e">
        <f>B133/B131</f>
        <v>#DIV/0!</v>
      </c>
      <c r="D133" s="249"/>
      <c r="E133" s="249"/>
      <c r="F133" s="249"/>
      <c r="G133" s="249"/>
      <c r="H133" s="249"/>
      <c r="I133" s="297">
        <f t="shared" si="217"/>
        <v>0</v>
      </c>
      <c r="J133" s="303" t="e">
        <f>I133/I131</f>
        <v>#DIV/0!</v>
      </c>
      <c r="K133" s="249"/>
      <c r="L133" s="249"/>
      <c r="M133" s="249"/>
      <c r="N133" s="249"/>
      <c r="O133" s="249"/>
      <c r="P133" s="297">
        <f t="shared" si="218"/>
        <v>0</v>
      </c>
      <c r="Q133" s="303" t="e">
        <f>P133/P131</f>
        <v>#DIV/0!</v>
      </c>
      <c r="R133" s="249"/>
      <c r="S133" s="249"/>
      <c r="T133" s="249"/>
      <c r="U133" s="249"/>
      <c r="V133" s="249"/>
      <c r="W133" s="297">
        <f t="shared" si="219"/>
        <v>0</v>
      </c>
      <c r="X133" s="303" t="e">
        <f>W133/W131</f>
        <v>#DIV/0!</v>
      </c>
      <c r="Y133" s="249"/>
      <c r="Z133" s="249"/>
      <c r="AA133" s="249"/>
      <c r="AB133" s="249"/>
      <c r="AC133" s="249"/>
      <c r="AD133" s="297">
        <f t="shared" si="220"/>
        <v>0</v>
      </c>
      <c r="AE133" s="303" t="e">
        <f>AD133/AD131</f>
        <v>#DIV/0!</v>
      </c>
      <c r="AF133" s="249"/>
      <c r="AG133" s="249"/>
      <c r="AH133" s="249"/>
      <c r="AI133" s="249"/>
      <c r="AJ133" s="249"/>
      <c r="AK133" s="297">
        <f t="shared" si="221"/>
        <v>0</v>
      </c>
      <c r="AL133" s="303" t="e">
        <f>AK133/AK131</f>
        <v>#DIV/0!</v>
      </c>
      <c r="AM133" s="249"/>
      <c r="AN133" s="249"/>
      <c r="AO133" s="249"/>
      <c r="AP133" s="249"/>
      <c r="AQ133" s="249"/>
      <c r="AR133" s="297">
        <f t="shared" si="222"/>
        <v>0</v>
      </c>
      <c r="AS133" s="303" t="e">
        <f>AR133/AR131</f>
        <v>#DIV/0!</v>
      </c>
      <c r="AT133" s="249"/>
      <c r="AU133" s="249"/>
      <c r="AV133" s="249"/>
      <c r="AW133" s="249"/>
      <c r="AX133" s="249"/>
      <c r="AY133" s="297">
        <f t="shared" si="223"/>
        <v>0</v>
      </c>
      <c r="AZ133" s="303" t="e">
        <f>AY133/AY131</f>
        <v>#DIV/0!</v>
      </c>
      <c r="BA133" s="249"/>
      <c r="BB133" s="249"/>
      <c r="BC133" s="249"/>
      <c r="BD133" s="249"/>
      <c r="BE133" s="249"/>
      <c r="BF133" s="297">
        <f t="shared" si="224"/>
        <v>0</v>
      </c>
      <c r="BG133" s="303" t="e">
        <f>BF133/BF131</f>
        <v>#DIV/0!</v>
      </c>
      <c r="BH133" s="249"/>
      <c r="BI133" s="249"/>
      <c r="BJ133" s="249"/>
      <c r="BK133" s="249"/>
      <c r="BL133" s="249"/>
      <c r="BM133" s="297">
        <f t="shared" si="225"/>
        <v>0</v>
      </c>
      <c r="BN133" s="303" t="e">
        <f>BM133/BM131</f>
        <v>#DIV/0!</v>
      </c>
      <c r="BO133" s="249"/>
      <c r="BP133" s="249"/>
      <c r="BQ133" s="249"/>
      <c r="BR133" s="249"/>
      <c r="BS133" s="249"/>
      <c r="BT133" s="297">
        <f t="shared" si="226"/>
        <v>0</v>
      </c>
      <c r="BU133" s="303" t="e">
        <f>BT133/BT131</f>
        <v>#DIV/0!</v>
      </c>
      <c r="BV133" s="249"/>
      <c r="BW133" s="249"/>
      <c r="BX133" s="249"/>
      <c r="BY133" s="249"/>
      <c r="BZ133" s="249"/>
      <c r="CA133" s="297">
        <f t="shared" si="227"/>
        <v>0</v>
      </c>
      <c r="CB133" s="303" t="e">
        <f>CA133/CA131</f>
        <v>#DIV/0!</v>
      </c>
      <c r="CC133" s="249"/>
      <c r="CD133" s="249"/>
      <c r="CE133" s="249"/>
      <c r="CF133" s="249"/>
      <c r="CG133" s="249"/>
      <c r="CH133" s="297">
        <f t="shared" si="228"/>
        <v>0</v>
      </c>
      <c r="CI133" s="303" t="e">
        <f>CH133/CH131</f>
        <v>#DIV/0!</v>
      </c>
      <c r="CJ133" s="249"/>
      <c r="CK133" s="249"/>
      <c r="CL133" s="249"/>
      <c r="CM133" s="249"/>
      <c r="CN133" s="249"/>
      <c r="CO133" s="297">
        <f t="shared" si="229"/>
        <v>0</v>
      </c>
      <c r="CP133" s="303" t="e">
        <f>CO133/CO131</f>
        <v>#DIV/0!</v>
      </c>
      <c r="CQ133" s="249"/>
      <c r="CR133" s="249"/>
      <c r="CS133" s="249"/>
      <c r="CT133" s="249"/>
      <c r="CU133" s="249"/>
      <c r="CV133" s="297">
        <f t="shared" si="230"/>
        <v>0</v>
      </c>
      <c r="CW133" s="303" t="e">
        <f>CV133/CV131</f>
        <v>#DIV/0!</v>
      </c>
      <c r="CX133" s="249"/>
      <c r="CY133" s="249"/>
      <c r="CZ133" s="249"/>
      <c r="DA133" s="249"/>
      <c r="DB133" s="249"/>
      <c r="DC133" s="297">
        <f t="shared" si="231"/>
        <v>0</v>
      </c>
      <c r="DD133" s="303" t="e">
        <f>DC133/DC131</f>
        <v>#DIV/0!</v>
      </c>
      <c r="DE133" s="249"/>
      <c r="DF133" s="249"/>
      <c r="DG133" s="249"/>
      <c r="DH133" s="249"/>
      <c r="DI133" s="249"/>
      <c r="DJ133" s="297">
        <f t="shared" si="232"/>
        <v>0</v>
      </c>
      <c r="DK133" s="303" t="e">
        <f>DJ133/DJ131</f>
        <v>#DIV/0!</v>
      </c>
      <c r="DL133" s="249"/>
      <c r="DM133" s="249"/>
      <c r="DN133" s="249"/>
      <c r="DO133" s="249"/>
      <c r="DP133" s="249"/>
      <c r="DQ133" s="297">
        <f t="shared" si="233"/>
        <v>0</v>
      </c>
      <c r="DR133" s="303" t="e">
        <f>DQ133/DQ131</f>
        <v>#DIV/0!</v>
      </c>
      <c r="DS133" s="249"/>
      <c r="DT133" s="249"/>
      <c r="DU133" s="249"/>
      <c r="DV133" s="249"/>
      <c r="DW133" s="249"/>
      <c r="DX133" s="297">
        <f t="shared" si="234"/>
        <v>0</v>
      </c>
      <c r="DY133" s="303" t="e">
        <f>DX133/DX131</f>
        <v>#DIV/0!</v>
      </c>
      <c r="DZ133" s="249"/>
      <c r="EA133" s="249"/>
      <c r="EB133" s="249"/>
      <c r="EC133" s="249"/>
      <c r="ED133" s="249"/>
      <c r="EE133" s="297">
        <f t="shared" si="235"/>
        <v>0</v>
      </c>
      <c r="EF133" s="303" t="e">
        <f>EE133/EE131</f>
        <v>#DIV/0!</v>
      </c>
      <c r="EG133" s="249"/>
      <c r="EH133" s="249"/>
      <c r="EI133" s="249"/>
      <c r="EJ133" s="249"/>
      <c r="EK133" s="249"/>
      <c r="EL133" s="297">
        <f t="shared" si="236"/>
        <v>0</v>
      </c>
      <c r="EM133" s="303" t="e">
        <f>EL133/EL131</f>
        <v>#DIV/0!</v>
      </c>
      <c r="EN133" s="249"/>
      <c r="EO133" s="249"/>
      <c r="EP133" s="249"/>
      <c r="EQ133" s="249"/>
      <c r="ER133" s="249"/>
      <c r="ES133" s="297">
        <f t="shared" si="237"/>
        <v>0</v>
      </c>
      <c r="ET133" s="303" t="e">
        <f>ES133/ES131</f>
        <v>#DIV/0!</v>
      </c>
      <c r="EU133" s="249"/>
      <c r="EV133" s="249"/>
      <c r="EW133" s="249"/>
      <c r="EX133" s="249"/>
      <c r="EY133" s="249"/>
      <c r="EZ133" s="297">
        <f t="shared" si="238"/>
        <v>0</v>
      </c>
      <c r="FA133" s="303" t="e">
        <f>EZ133/EZ131</f>
        <v>#DIV/0!</v>
      </c>
      <c r="FB133" s="249"/>
      <c r="FC133" s="249"/>
      <c r="FD133" s="249"/>
      <c r="FE133" s="249"/>
      <c r="FF133" s="249"/>
      <c r="FG133" s="297">
        <f t="shared" si="239"/>
        <v>0</v>
      </c>
      <c r="FH133" s="303" t="e">
        <f>FG133/FG131</f>
        <v>#DIV/0!</v>
      </c>
      <c r="FI133" s="249"/>
      <c r="FJ133" s="249"/>
      <c r="FK133" s="249"/>
      <c r="FL133" s="249"/>
      <c r="FM133" s="249"/>
      <c r="FN133" s="297">
        <f t="shared" si="240"/>
        <v>0</v>
      </c>
      <c r="FO133" s="303" t="e">
        <f>FN133/FN131</f>
        <v>#DIV/0!</v>
      </c>
      <c r="FP133" s="249"/>
      <c r="FQ133" s="249"/>
      <c r="FR133" s="249"/>
      <c r="FS133" s="249"/>
      <c r="FT133" s="249"/>
      <c r="FU133" s="297">
        <f t="shared" si="241"/>
        <v>0</v>
      </c>
      <c r="FV133" s="303" t="e">
        <f>FU133/FU131</f>
        <v>#DIV/0!</v>
      </c>
      <c r="FW133" s="249"/>
      <c r="FX133" s="249"/>
      <c r="FY133" s="249"/>
      <c r="FZ133" s="249"/>
      <c r="GA133" s="249"/>
    </row>
    <row r="134" spans="1:183" ht="12.75">
      <c r="A134" s="304" t="s">
        <v>260</v>
      </c>
      <c r="B134" s="297">
        <f t="shared" si="216"/>
        <v>0</v>
      </c>
      <c r="C134" s="303" t="e">
        <f>B134/B131</f>
        <v>#DIV/0!</v>
      </c>
      <c r="D134" s="249"/>
      <c r="E134" s="249"/>
      <c r="F134" s="249"/>
      <c r="G134" s="249"/>
      <c r="H134" s="249"/>
      <c r="I134" s="297">
        <f t="shared" si="217"/>
        <v>0</v>
      </c>
      <c r="J134" s="303" t="e">
        <f>I134/I131</f>
        <v>#DIV/0!</v>
      </c>
      <c r="K134" s="249"/>
      <c r="L134" s="249"/>
      <c r="M134" s="249"/>
      <c r="N134" s="249"/>
      <c r="O134" s="249"/>
      <c r="P134" s="297">
        <f t="shared" si="218"/>
        <v>0</v>
      </c>
      <c r="Q134" s="303" t="e">
        <f>P134/P131</f>
        <v>#DIV/0!</v>
      </c>
      <c r="R134" s="249"/>
      <c r="S134" s="249"/>
      <c r="T134" s="249"/>
      <c r="U134" s="249"/>
      <c r="V134" s="249"/>
      <c r="W134" s="297">
        <f t="shared" si="219"/>
        <v>0</v>
      </c>
      <c r="X134" s="303" t="e">
        <f>W134/W131</f>
        <v>#DIV/0!</v>
      </c>
      <c r="Y134" s="249"/>
      <c r="Z134" s="249"/>
      <c r="AA134" s="249"/>
      <c r="AB134" s="249"/>
      <c r="AC134" s="249"/>
      <c r="AD134" s="297">
        <f t="shared" si="220"/>
        <v>0</v>
      </c>
      <c r="AE134" s="303" t="e">
        <f>AD134/AD131</f>
        <v>#DIV/0!</v>
      </c>
      <c r="AF134" s="249"/>
      <c r="AG134" s="249"/>
      <c r="AH134" s="249"/>
      <c r="AI134" s="249"/>
      <c r="AJ134" s="249"/>
      <c r="AK134" s="297">
        <f t="shared" si="221"/>
        <v>0</v>
      </c>
      <c r="AL134" s="303" t="e">
        <f>AK134/AK131</f>
        <v>#DIV/0!</v>
      </c>
      <c r="AM134" s="249"/>
      <c r="AN134" s="249"/>
      <c r="AO134" s="249"/>
      <c r="AP134" s="249"/>
      <c r="AQ134" s="249"/>
      <c r="AR134" s="297">
        <f t="shared" si="222"/>
        <v>0</v>
      </c>
      <c r="AS134" s="303" t="e">
        <f>AR134/AR131</f>
        <v>#DIV/0!</v>
      </c>
      <c r="AT134" s="249"/>
      <c r="AU134" s="249"/>
      <c r="AV134" s="249"/>
      <c r="AW134" s="249"/>
      <c r="AX134" s="249"/>
      <c r="AY134" s="297">
        <f t="shared" si="223"/>
        <v>0</v>
      </c>
      <c r="AZ134" s="303" t="e">
        <f>AY134/AY131</f>
        <v>#DIV/0!</v>
      </c>
      <c r="BA134" s="249"/>
      <c r="BB134" s="249"/>
      <c r="BC134" s="249"/>
      <c r="BD134" s="249"/>
      <c r="BE134" s="249"/>
      <c r="BF134" s="297">
        <f t="shared" si="224"/>
        <v>0</v>
      </c>
      <c r="BG134" s="303" t="e">
        <f>BF134/BF131</f>
        <v>#DIV/0!</v>
      </c>
      <c r="BH134" s="249"/>
      <c r="BI134" s="249"/>
      <c r="BJ134" s="249"/>
      <c r="BK134" s="249"/>
      <c r="BL134" s="249"/>
      <c r="BM134" s="297">
        <f t="shared" si="225"/>
        <v>0</v>
      </c>
      <c r="BN134" s="303" t="e">
        <f>BM134/BM131</f>
        <v>#DIV/0!</v>
      </c>
      <c r="BO134" s="249"/>
      <c r="BP134" s="249"/>
      <c r="BQ134" s="249"/>
      <c r="BR134" s="249"/>
      <c r="BS134" s="249"/>
      <c r="BT134" s="297">
        <f t="shared" si="226"/>
        <v>0</v>
      </c>
      <c r="BU134" s="303" t="e">
        <f>BT134/BT131</f>
        <v>#DIV/0!</v>
      </c>
      <c r="BV134" s="249"/>
      <c r="BW134" s="249"/>
      <c r="BX134" s="249"/>
      <c r="BY134" s="249"/>
      <c r="BZ134" s="249"/>
      <c r="CA134" s="297">
        <f t="shared" si="227"/>
        <v>0</v>
      </c>
      <c r="CB134" s="303" t="e">
        <f>CA134/CA131</f>
        <v>#DIV/0!</v>
      </c>
      <c r="CC134" s="249"/>
      <c r="CD134" s="249"/>
      <c r="CE134" s="249"/>
      <c r="CF134" s="249"/>
      <c r="CG134" s="249"/>
      <c r="CH134" s="297">
        <f t="shared" si="228"/>
        <v>0</v>
      </c>
      <c r="CI134" s="303" t="e">
        <f>CH134/CH131</f>
        <v>#DIV/0!</v>
      </c>
      <c r="CJ134" s="249"/>
      <c r="CK134" s="249"/>
      <c r="CL134" s="249"/>
      <c r="CM134" s="249"/>
      <c r="CN134" s="249"/>
      <c r="CO134" s="297">
        <f t="shared" si="229"/>
        <v>0</v>
      </c>
      <c r="CP134" s="303" t="e">
        <f>CO134/CO131</f>
        <v>#DIV/0!</v>
      </c>
      <c r="CQ134" s="249"/>
      <c r="CR134" s="249"/>
      <c r="CS134" s="249"/>
      <c r="CT134" s="249"/>
      <c r="CU134" s="249"/>
      <c r="CV134" s="297">
        <f t="shared" si="230"/>
        <v>0</v>
      </c>
      <c r="CW134" s="303" t="e">
        <f>CV134/CV131</f>
        <v>#DIV/0!</v>
      </c>
      <c r="CX134" s="249"/>
      <c r="CY134" s="249"/>
      <c r="CZ134" s="249"/>
      <c r="DA134" s="249"/>
      <c r="DB134" s="249"/>
      <c r="DC134" s="297">
        <f t="shared" si="231"/>
        <v>0</v>
      </c>
      <c r="DD134" s="303" t="e">
        <f>DC134/DC131</f>
        <v>#DIV/0!</v>
      </c>
      <c r="DE134" s="249"/>
      <c r="DF134" s="249"/>
      <c r="DG134" s="249"/>
      <c r="DH134" s="249"/>
      <c r="DI134" s="249"/>
      <c r="DJ134" s="297">
        <f t="shared" si="232"/>
        <v>0</v>
      </c>
      <c r="DK134" s="303" t="e">
        <f>DJ134/DJ131</f>
        <v>#DIV/0!</v>
      </c>
      <c r="DL134" s="249"/>
      <c r="DM134" s="249"/>
      <c r="DN134" s="249"/>
      <c r="DO134" s="249"/>
      <c r="DP134" s="249"/>
      <c r="DQ134" s="297">
        <f t="shared" si="233"/>
        <v>0</v>
      </c>
      <c r="DR134" s="303" t="e">
        <f>DQ134/DQ131</f>
        <v>#DIV/0!</v>
      </c>
      <c r="DS134" s="249"/>
      <c r="DT134" s="249"/>
      <c r="DU134" s="249"/>
      <c r="DV134" s="249"/>
      <c r="DW134" s="249"/>
      <c r="DX134" s="297">
        <f t="shared" si="234"/>
        <v>0</v>
      </c>
      <c r="DY134" s="303" t="e">
        <f>DX134/DX131</f>
        <v>#DIV/0!</v>
      </c>
      <c r="DZ134" s="249"/>
      <c r="EA134" s="249"/>
      <c r="EB134" s="249"/>
      <c r="EC134" s="249"/>
      <c r="ED134" s="249"/>
      <c r="EE134" s="297">
        <f t="shared" si="235"/>
        <v>0</v>
      </c>
      <c r="EF134" s="303" t="e">
        <f>EE134/EE131</f>
        <v>#DIV/0!</v>
      </c>
      <c r="EG134" s="249"/>
      <c r="EH134" s="249"/>
      <c r="EI134" s="249"/>
      <c r="EJ134" s="249"/>
      <c r="EK134" s="249"/>
      <c r="EL134" s="297">
        <f t="shared" si="236"/>
        <v>0</v>
      </c>
      <c r="EM134" s="303" t="e">
        <f>EL134/EL131</f>
        <v>#DIV/0!</v>
      </c>
      <c r="EN134" s="249"/>
      <c r="EO134" s="249"/>
      <c r="EP134" s="249"/>
      <c r="EQ134" s="249"/>
      <c r="ER134" s="249"/>
      <c r="ES134" s="297">
        <f t="shared" si="237"/>
        <v>0</v>
      </c>
      <c r="ET134" s="303" t="e">
        <f>ES134/ES131</f>
        <v>#DIV/0!</v>
      </c>
      <c r="EU134" s="249"/>
      <c r="EV134" s="249"/>
      <c r="EW134" s="249"/>
      <c r="EX134" s="249"/>
      <c r="EY134" s="249"/>
      <c r="EZ134" s="297">
        <f t="shared" si="238"/>
        <v>0</v>
      </c>
      <c r="FA134" s="303" t="e">
        <f>EZ134/EZ131</f>
        <v>#DIV/0!</v>
      </c>
      <c r="FB134" s="249"/>
      <c r="FC134" s="249"/>
      <c r="FD134" s="249"/>
      <c r="FE134" s="249"/>
      <c r="FF134" s="249"/>
      <c r="FG134" s="297">
        <f t="shared" si="239"/>
        <v>0</v>
      </c>
      <c r="FH134" s="303" t="e">
        <f>FG134/FG131</f>
        <v>#DIV/0!</v>
      </c>
      <c r="FI134" s="249"/>
      <c r="FJ134" s="249"/>
      <c r="FK134" s="249"/>
      <c r="FL134" s="249"/>
      <c r="FM134" s="249"/>
      <c r="FN134" s="297">
        <f t="shared" si="240"/>
        <v>0</v>
      </c>
      <c r="FO134" s="303" t="e">
        <f>FN134/FN131</f>
        <v>#DIV/0!</v>
      </c>
      <c r="FP134" s="249"/>
      <c r="FQ134" s="249"/>
      <c r="FR134" s="249"/>
      <c r="FS134" s="249"/>
      <c r="FT134" s="249"/>
      <c r="FU134" s="297">
        <f t="shared" si="241"/>
        <v>0</v>
      </c>
      <c r="FV134" s="303" t="e">
        <f>FU134/FU131</f>
        <v>#DIV/0!</v>
      </c>
      <c r="FW134" s="249"/>
      <c r="FX134" s="249"/>
      <c r="FY134" s="249"/>
      <c r="FZ134" s="249"/>
      <c r="GA134" s="249"/>
    </row>
    <row r="135" spans="1:183" ht="12.75">
      <c r="A135" s="304" t="s">
        <v>261</v>
      </c>
      <c r="B135" s="297">
        <f t="shared" si="216"/>
        <v>0</v>
      </c>
      <c r="C135" s="303" t="e">
        <f>B135/B131</f>
        <v>#DIV/0!</v>
      </c>
      <c r="D135" s="249"/>
      <c r="E135" s="249"/>
      <c r="F135" s="249"/>
      <c r="G135" s="249"/>
      <c r="H135" s="249"/>
      <c r="I135" s="297">
        <f t="shared" si="217"/>
        <v>0</v>
      </c>
      <c r="J135" s="303" t="e">
        <f>I135/I131</f>
        <v>#DIV/0!</v>
      </c>
      <c r="K135" s="249"/>
      <c r="L135" s="249"/>
      <c r="M135" s="249"/>
      <c r="N135" s="249"/>
      <c r="O135" s="249"/>
      <c r="P135" s="297">
        <f t="shared" si="218"/>
        <v>0</v>
      </c>
      <c r="Q135" s="303" t="e">
        <f>P135/P131</f>
        <v>#DIV/0!</v>
      </c>
      <c r="R135" s="249"/>
      <c r="S135" s="249"/>
      <c r="T135" s="249"/>
      <c r="U135" s="249"/>
      <c r="V135" s="249"/>
      <c r="W135" s="297">
        <f t="shared" si="219"/>
        <v>0</v>
      </c>
      <c r="X135" s="303" t="e">
        <f>W135/W131</f>
        <v>#DIV/0!</v>
      </c>
      <c r="Y135" s="249"/>
      <c r="Z135" s="249"/>
      <c r="AA135" s="249"/>
      <c r="AB135" s="249"/>
      <c r="AC135" s="249"/>
      <c r="AD135" s="297">
        <f t="shared" si="220"/>
        <v>0</v>
      </c>
      <c r="AE135" s="303" t="e">
        <f>AD135/AD131</f>
        <v>#DIV/0!</v>
      </c>
      <c r="AF135" s="249"/>
      <c r="AG135" s="249"/>
      <c r="AH135" s="249"/>
      <c r="AI135" s="249"/>
      <c r="AJ135" s="249"/>
      <c r="AK135" s="297">
        <f t="shared" si="221"/>
        <v>0</v>
      </c>
      <c r="AL135" s="303" t="e">
        <f>AK135/AK131</f>
        <v>#DIV/0!</v>
      </c>
      <c r="AM135" s="249"/>
      <c r="AN135" s="249"/>
      <c r="AO135" s="249"/>
      <c r="AP135" s="249"/>
      <c r="AQ135" s="249"/>
      <c r="AR135" s="297">
        <f t="shared" si="222"/>
        <v>0</v>
      </c>
      <c r="AS135" s="303" t="e">
        <f>AR135/AR131</f>
        <v>#DIV/0!</v>
      </c>
      <c r="AT135" s="249"/>
      <c r="AU135" s="249"/>
      <c r="AV135" s="249"/>
      <c r="AW135" s="249"/>
      <c r="AX135" s="249"/>
      <c r="AY135" s="297">
        <f t="shared" si="223"/>
        <v>0</v>
      </c>
      <c r="AZ135" s="303" t="e">
        <f>AY135/AY131</f>
        <v>#DIV/0!</v>
      </c>
      <c r="BA135" s="249"/>
      <c r="BB135" s="249"/>
      <c r="BC135" s="249"/>
      <c r="BD135" s="249"/>
      <c r="BE135" s="249"/>
      <c r="BF135" s="297">
        <f t="shared" si="224"/>
        <v>0</v>
      </c>
      <c r="BG135" s="303" t="e">
        <f>BF135/BF131</f>
        <v>#DIV/0!</v>
      </c>
      <c r="BH135" s="249"/>
      <c r="BI135" s="249"/>
      <c r="BJ135" s="249"/>
      <c r="BK135" s="249"/>
      <c r="BL135" s="249"/>
      <c r="BM135" s="297">
        <f t="shared" si="225"/>
        <v>0</v>
      </c>
      <c r="BN135" s="303" t="e">
        <f>BM135/BM131</f>
        <v>#DIV/0!</v>
      </c>
      <c r="BO135" s="249"/>
      <c r="BP135" s="249"/>
      <c r="BQ135" s="249"/>
      <c r="BR135" s="249"/>
      <c r="BS135" s="249"/>
      <c r="BT135" s="297">
        <f t="shared" si="226"/>
        <v>0</v>
      </c>
      <c r="BU135" s="303" t="e">
        <f>BT135/BT131</f>
        <v>#DIV/0!</v>
      </c>
      <c r="BV135" s="249"/>
      <c r="BW135" s="249"/>
      <c r="BX135" s="249"/>
      <c r="BY135" s="249"/>
      <c r="BZ135" s="249"/>
      <c r="CA135" s="297">
        <f t="shared" si="227"/>
        <v>0</v>
      </c>
      <c r="CB135" s="303" t="e">
        <f>CA135/CA131</f>
        <v>#DIV/0!</v>
      </c>
      <c r="CC135" s="249"/>
      <c r="CD135" s="249"/>
      <c r="CE135" s="249"/>
      <c r="CF135" s="249"/>
      <c r="CG135" s="249"/>
      <c r="CH135" s="297">
        <f t="shared" si="228"/>
        <v>0</v>
      </c>
      <c r="CI135" s="303" t="e">
        <f>CH135/CH131</f>
        <v>#DIV/0!</v>
      </c>
      <c r="CJ135" s="249"/>
      <c r="CK135" s="249"/>
      <c r="CL135" s="249"/>
      <c r="CM135" s="249"/>
      <c r="CN135" s="249"/>
      <c r="CO135" s="297">
        <f t="shared" si="229"/>
        <v>0</v>
      </c>
      <c r="CP135" s="303" t="e">
        <f>CO135/CO131</f>
        <v>#DIV/0!</v>
      </c>
      <c r="CQ135" s="249"/>
      <c r="CR135" s="249"/>
      <c r="CS135" s="249"/>
      <c r="CT135" s="249"/>
      <c r="CU135" s="249"/>
      <c r="CV135" s="297">
        <f t="shared" si="230"/>
        <v>0</v>
      </c>
      <c r="CW135" s="303" t="e">
        <f>CV135/CV131</f>
        <v>#DIV/0!</v>
      </c>
      <c r="CX135" s="249"/>
      <c r="CY135" s="249"/>
      <c r="CZ135" s="249"/>
      <c r="DA135" s="249"/>
      <c r="DB135" s="249"/>
      <c r="DC135" s="297">
        <f t="shared" si="231"/>
        <v>0</v>
      </c>
      <c r="DD135" s="303" t="e">
        <f>DC135/DC131</f>
        <v>#DIV/0!</v>
      </c>
      <c r="DE135" s="249"/>
      <c r="DF135" s="249"/>
      <c r="DG135" s="249"/>
      <c r="DH135" s="249"/>
      <c r="DI135" s="249"/>
      <c r="DJ135" s="297">
        <f t="shared" si="232"/>
        <v>0</v>
      </c>
      <c r="DK135" s="303" t="e">
        <f>DJ135/DJ131</f>
        <v>#DIV/0!</v>
      </c>
      <c r="DL135" s="249"/>
      <c r="DM135" s="249"/>
      <c r="DN135" s="249"/>
      <c r="DO135" s="249"/>
      <c r="DP135" s="249"/>
      <c r="DQ135" s="297">
        <f t="shared" si="233"/>
        <v>0</v>
      </c>
      <c r="DR135" s="303" t="e">
        <f>DQ135/DQ131</f>
        <v>#DIV/0!</v>
      </c>
      <c r="DS135" s="249"/>
      <c r="DT135" s="249"/>
      <c r="DU135" s="249"/>
      <c r="DV135" s="249"/>
      <c r="DW135" s="249"/>
      <c r="DX135" s="297">
        <f t="shared" si="234"/>
        <v>0</v>
      </c>
      <c r="DY135" s="303" t="e">
        <f>DX135/DX131</f>
        <v>#DIV/0!</v>
      </c>
      <c r="DZ135" s="249"/>
      <c r="EA135" s="249"/>
      <c r="EB135" s="249"/>
      <c r="EC135" s="249"/>
      <c r="ED135" s="249"/>
      <c r="EE135" s="297">
        <f t="shared" si="235"/>
        <v>0</v>
      </c>
      <c r="EF135" s="303" t="e">
        <f>EE135/EE131</f>
        <v>#DIV/0!</v>
      </c>
      <c r="EG135" s="249"/>
      <c r="EH135" s="249"/>
      <c r="EI135" s="249"/>
      <c r="EJ135" s="249"/>
      <c r="EK135" s="249"/>
      <c r="EL135" s="297">
        <f t="shared" si="236"/>
        <v>0</v>
      </c>
      <c r="EM135" s="303" t="e">
        <f>EL135/EL131</f>
        <v>#DIV/0!</v>
      </c>
      <c r="EN135" s="249"/>
      <c r="EO135" s="249"/>
      <c r="EP135" s="249"/>
      <c r="EQ135" s="249"/>
      <c r="ER135" s="249"/>
      <c r="ES135" s="297">
        <f t="shared" si="237"/>
        <v>0</v>
      </c>
      <c r="ET135" s="303" t="e">
        <f>ES135/ES131</f>
        <v>#DIV/0!</v>
      </c>
      <c r="EU135" s="249"/>
      <c r="EV135" s="249"/>
      <c r="EW135" s="249"/>
      <c r="EX135" s="249"/>
      <c r="EY135" s="249"/>
      <c r="EZ135" s="297">
        <f t="shared" si="238"/>
        <v>0</v>
      </c>
      <c r="FA135" s="303" t="e">
        <f>EZ135/EZ131</f>
        <v>#DIV/0!</v>
      </c>
      <c r="FB135" s="249"/>
      <c r="FC135" s="249"/>
      <c r="FD135" s="249"/>
      <c r="FE135" s="249"/>
      <c r="FF135" s="249"/>
      <c r="FG135" s="297">
        <f t="shared" si="239"/>
        <v>0</v>
      </c>
      <c r="FH135" s="303" t="e">
        <f>FG135/FG131</f>
        <v>#DIV/0!</v>
      </c>
      <c r="FI135" s="249"/>
      <c r="FJ135" s="249"/>
      <c r="FK135" s="249"/>
      <c r="FL135" s="249"/>
      <c r="FM135" s="249"/>
      <c r="FN135" s="297">
        <f t="shared" si="240"/>
        <v>0</v>
      </c>
      <c r="FO135" s="303" t="e">
        <f>FN135/FN131</f>
        <v>#DIV/0!</v>
      </c>
      <c r="FP135" s="249"/>
      <c r="FQ135" s="249"/>
      <c r="FR135" s="249"/>
      <c r="FS135" s="249"/>
      <c r="FT135" s="249"/>
      <c r="FU135" s="297">
        <f t="shared" si="241"/>
        <v>0</v>
      </c>
      <c r="FV135" s="303" t="e">
        <f>FU135/FU131</f>
        <v>#DIV/0!</v>
      </c>
      <c r="FW135" s="249"/>
      <c r="FX135" s="249"/>
      <c r="FY135" s="249"/>
      <c r="FZ135" s="249"/>
      <c r="GA135" s="249"/>
    </row>
    <row r="136" spans="1:183" ht="12.75">
      <c r="A136" s="304" t="s">
        <v>2</v>
      </c>
      <c r="B136" s="297">
        <f t="shared" si="216"/>
        <v>0</v>
      </c>
      <c r="C136" s="303" t="e">
        <f>B136/B131</f>
        <v>#DIV/0!</v>
      </c>
      <c r="D136" s="249"/>
      <c r="E136" s="249"/>
      <c r="F136" s="249"/>
      <c r="G136" s="249"/>
      <c r="H136" s="249"/>
      <c r="I136" s="297">
        <f t="shared" si="217"/>
        <v>0</v>
      </c>
      <c r="J136" s="303" t="e">
        <f>I136/I131</f>
        <v>#DIV/0!</v>
      </c>
      <c r="K136" s="249"/>
      <c r="L136" s="249"/>
      <c r="M136" s="249"/>
      <c r="N136" s="249"/>
      <c r="O136" s="249"/>
      <c r="P136" s="297">
        <f t="shared" si="218"/>
        <v>0</v>
      </c>
      <c r="Q136" s="303" t="e">
        <f>P136/P131</f>
        <v>#DIV/0!</v>
      </c>
      <c r="R136" s="249"/>
      <c r="S136" s="249"/>
      <c r="T136" s="249"/>
      <c r="U136" s="249"/>
      <c r="V136" s="249"/>
      <c r="W136" s="297">
        <f t="shared" si="219"/>
        <v>0</v>
      </c>
      <c r="X136" s="303" t="e">
        <f>W136/W131</f>
        <v>#DIV/0!</v>
      </c>
      <c r="Y136" s="249"/>
      <c r="Z136" s="249"/>
      <c r="AA136" s="249"/>
      <c r="AB136" s="249"/>
      <c r="AC136" s="249"/>
      <c r="AD136" s="297">
        <f t="shared" si="220"/>
        <v>0</v>
      </c>
      <c r="AE136" s="303" t="e">
        <f>AD136/AD131</f>
        <v>#DIV/0!</v>
      </c>
      <c r="AF136" s="249"/>
      <c r="AG136" s="249"/>
      <c r="AH136" s="249"/>
      <c r="AI136" s="249"/>
      <c r="AJ136" s="249"/>
      <c r="AK136" s="297">
        <f t="shared" si="221"/>
        <v>0</v>
      </c>
      <c r="AL136" s="303" t="e">
        <f>AK136/AK131</f>
        <v>#DIV/0!</v>
      </c>
      <c r="AM136" s="249"/>
      <c r="AN136" s="249"/>
      <c r="AO136" s="249"/>
      <c r="AP136" s="249"/>
      <c r="AQ136" s="249"/>
      <c r="AR136" s="297">
        <f t="shared" si="222"/>
        <v>0</v>
      </c>
      <c r="AS136" s="303" t="e">
        <f>AR136/AR131</f>
        <v>#DIV/0!</v>
      </c>
      <c r="AT136" s="249"/>
      <c r="AU136" s="249"/>
      <c r="AV136" s="249"/>
      <c r="AW136" s="249"/>
      <c r="AX136" s="249"/>
      <c r="AY136" s="297">
        <f t="shared" si="223"/>
        <v>0</v>
      </c>
      <c r="AZ136" s="303" t="e">
        <f>AY136/AY131</f>
        <v>#DIV/0!</v>
      </c>
      <c r="BA136" s="249"/>
      <c r="BB136" s="249"/>
      <c r="BC136" s="249"/>
      <c r="BD136" s="249"/>
      <c r="BE136" s="249"/>
      <c r="BF136" s="297">
        <f t="shared" si="224"/>
        <v>0</v>
      </c>
      <c r="BG136" s="303" t="e">
        <f>BF136/BF131</f>
        <v>#DIV/0!</v>
      </c>
      <c r="BH136" s="249"/>
      <c r="BI136" s="249"/>
      <c r="BJ136" s="249"/>
      <c r="BK136" s="249"/>
      <c r="BL136" s="249"/>
      <c r="BM136" s="297">
        <f t="shared" si="225"/>
        <v>0</v>
      </c>
      <c r="BN136" s="303" t="e">
        <f>BM136/BM131</f>
        <v>#DIV/0!</v>
      </c>
      <c r="BO136" s="249"/>
      <c r="BP136" s="249"/>
      <c r="BQ136" s="249"/>
      <c r="BR136" s="249"/>
      <c r="BS136" s="249"/>
      <c r="BT136" s="297">
        <f t="shared" si="226"/>
        <v>0</v>
      </c>
      <c r="BU136" s="303" t="e">
        <f>BT136/BT131</f>
        <v>#DIV/0!</v>
      </c>
      <c r="BV136" s="249"/>
      <c r="BW136" s="249"/>
      <c r="BX136" s="249"/>
      <c r="BY136" s="249"/>
      <c r="BZ136" s="249"/>
      <c r="CA136" s="297">
        <f t="shared" si="227"/>
        <v>0</v>
      </c>
      <c r="CB136" s="303" t="e">
        <f>CA136/CA131</f>
        <v>#DIV/0!</v>
      </c>
      <c r="CC136" s="249"/>
      <c r="CD136" s="249"/>
      <c r="CE136" s="249"/>
      <c r="CF136" s="249"/>
      <c r="CG136" s="249"/>
      <c r="CH136" s="297">
        <f t="shared" si="228"/>
        <v>0</v>
      </c>
      <c r="CI136" s="303" t="e">
        <f>CH136/CH131</f>
        <v>#DIV/0!</v>
      </c>
      <c r="CJ136" s="249"/>
      <c r="CK136" s="249"/>
      <c r="CL136" s="249"/>
      <c r="CM136" s="249"/>
      <c r="CN136" s="249"/>
      <c r="CO136" s="297">
        <f t="shared" si="229"/>
        <v>0</v>
      </c>
      <c r="CP136" s="303" t="e">
        <f>CO136/CO131</f>
        <v>#DIV/0!</v>
      </c>
      <c r="CQ136" s="249"/>
      <c r="CR136" s="249"/>
      <c r="CS136" s="249"/>
      <c r="CT136" s="249"/>
      <c r="CU136" s="249"/>
      <c r="CV136" s="297">
        <f t="shared" si="230"/>
        <v>0</v>
      </c>
      <c r="CW136" s="303" t="e">
        <f>CV136/CV131</f>
        <v>#DIV/0!</v>
      </c>
      <c r="CX136" s="249"/>
      <c r="CY136" s="249"/>
      <c r="CZ136" s="249"/>
      <c r="DA136" s="249"/>
      <c r="DB136" s="249"/>
      <c r="DC136" s="297">
        <f t="shared" si="231"/>
        <v>0</v>
      </c>
      <c r="DD136" s="303" t="e">
        <f>DC136/DC131</f>
        <v>#DIV/0!</v>
      </c>
      <c r="DE136" s="249"/>
      <c r="DF136" s="249"/>
      <c r="DG136" s="249"/>
      <c r="DH136" s="249"/>
      <c r="DI136" s="249"/>
      <c r="DJ136" s="297">
        <f t="shared" si="232"/>
        <v>0</v>
      </c>
      <c r="DK136" s="303" t="e">
        <f>DJ136/DJ131</f>
        <v>#DIV/0!</v>
      </c>
      <c r="DL136" s="249"/>
      <c r="DM136" s="249"/>
      <c r="DN136" s="249"/>
      <c r="DO136" s="249"/>
      <c r="DP136" s="249"/>
      <c r="DQ136" s="297">
        <f t="shared" si="233"/>
        <v>0</v>
      </c>
      <c r="DR136" s="303" t="e">
        <f>DQ136/DQ131</f>
        <v>#DIV/0!</v>
      </c>
      <c r="DS136" s="249"/>
      <c r="DT136" s="249"/>
      <c r="DU136" s="249"/>
      <c r="DV136" s="249"/>
      <c r="DW136" s="249"/>
      <c r="DX136" s="297">
        <f t="shared" si="234"/>
        <v>0</v>
      </c>
      <c r="DY136" s="303" t="e">
        <f>DX136/DX131</f>
        <v>#DIV/0!</v>
      </c>
      <c r="DZ136" s="249"/>
      <c r="EA136" s="249"/>
      <c r="EB136" s="249"/>
      <c r="EC136" s="249"/>
      <c r="ED136" s="249"/>
      <c r="EE136" s="297">
        <f t="shared" si="235"/>
        <v>0</v>
      </c>
      <c r="EF136" s="303" t="e">
        <f>EE136/EE131</f>
        <v>#DIV/0!</v>
      </c>
      <c r="EG136" s="249"/>
      <c r="EH136" s="249"/>
      <c r="EI136" s="249"/>
      <c r="EJ136" s="249"/>
      <c r="EK136" s="249"/>
      <c r="EL136" s="297">
        <f t="shared" si="236"/>
        <v>0</v>
      </c>
      <c r="EM136" s="303" t="e">
        <f>EL136/EL131</f>
        <v>#DIV/0!</v>
      </c>
      <c r="EN136" s="249"/>
      <c r="EO136" s="249"/>
      <c r="EP136" s="249"/>
      <c r="EQ136" s="249"/>
      <c r="ER136" s="249"/>
      <c r="ES136" s="297">
        <f t="shared" si="237"/>
        <v>0</v>
      </c>
      <c r="ET136" s="303" t="e">
        <f>ES136/ES131</f>
        <v>#DIV/0!</v>
      </c>
      <c r="EU136" s="249"/>
      <c r="EV136" s="249"/>
      <c r="EW136" s="249"/>
      <c r="EX136" s="249"/>
      <c r="EY136" s="249"/>
      <c r="EZ136" s="297">
        <f t="shared" si="238"/>
        <v>0</v>
      </c>
      <c r="FA136" s="303" t="e">
        <f>EZ136/EZ131</f>
        <v>#DIV/0!</v>
      </c>
      <c r="FB136" s="249"/>
      <c r="FC136" s="249"/>
      <c r="FD136" s="249"/>
      <c r="FE136" s="249"/>
      <c r="FF136" s="249"/>
      <c r="FG136" s="297">
        <f t="shared" si="239"/>
        <v>0</v>
      </c>
      <c r="FH136" s="303" t="e">
        <f>FG136/FG131</f>
        <v>#DIV/0!</v>
      </c>
      <c r="FI136" s="249"/>
      <c r="FJ136" s="249"/>
      <c r="FK136" s="249"/>
      <c r="FL136" s="249"/>
      <c r="FM136" s="249"/>
      <c r="FN136" s="297">
        <f t="shared" si="240"/>
        <v>0</v>
      </c>
      <c r="FO136" s="303" t="e">
        <f>FN136/FN131</f>
        <v>#DIV/0!</v>
      </c>
      <c r="FP136" s="249"/>
      <c r="FQ136" s="249"/>
      <c r="FR136" s="249"/>
      <c r="FS136" s="249"/>
      <c r="FT136" s="249"/>
      <c r="FU136" s="297">
        <f t="shared" si="241"/>
        <v>0</v>
      </c>
      <c r="FV136" s="303" t="e">
        <f>FU136/FU131</f>
        <v>#DIV/0!</v>
      </c>
      <c r="FW136" s="249"/>
      <c r="FX136" s="249"/>
      <c r="FY136" s="249"/>
      <c r="FZ136" s="249"/>
      <c r="GA136" s="249"/>
    </row>
    <row r="137" spans="1:183" ht="12.75">
      <c r="A137" s="304" t="s">
        <v>104</v>
      </c>
      <c r="B137" s="297">
        <f t="shared" si="216"/>
        <v>0</v>
      </c>
      <c r="C137" s="303" t="e">
        <f>B137/B131</f>
        <v>#DIV/0!</v>
      </c>
      <c r="D137" s="249"/>
      <c r="E137" s="249"/>
      <c r="F137" s="249"/>
      <c r="G137" s="249"/>
      <c r="H137" s="249"/>
      <c r="I137" s="297">
        <f t="shared" si="217"/>
        <v>0</v>
      </c>
      <c r="J137" s="303" t="e">
        <f>I137/I131</f>
        <v>#DIV/0!</v>
      </c>
      <c r="K137" s="249"/>
      <c r="L137" s="249"/>
      <c r="M137" s="249"/>
      <c r="N137" s="249"/>
      <c r="O137" s="249"/>
      <c r="P137" s="297">
        <f t="shared" si="218"/>
        <v>0</v>
      </c>
      <c r="Q137" s="303" t="e">
        <f>P137/P131</f>
        <v>#DIV/0!</v>
      </c>
      <c r="R137" s="249"/>
      <c r="S137" s="249"/>
      <c r="T137" s="249"/>
      <c r="U137" s="249"/>
      <c r="V137" s="249"/>
      <c r="W137" s="297">
        <f t="shared" si="219"/>
        <v>0</v>
      </c>
      <c r="X137" s="303" t="e">
        <f>W137/W131</f>
        <v>#DIV/0!</v>
      </c>
      <c r="Y137" s="249"/>
      <c r="Z137" s="249"/>
      <c r="AA137" s="249"/>
      <c r="AB137" s="249"/>
      <c r="AC137" s="249"/>
      <c r="AD137" s="297">
        <f t="shared" si="220"/>
        <v>0</v>
      </c>
      <c r="AE137" s="303" t="e">
        <f>AD137/AD131</f>
        <v>#DIV/0!</v>
      </c>
      <c r="AF137" s="249"/>
      <c r="AG137" s="249"/>
      <c r="AH137" s="249"/>
      <c r="AI137" s="249"/>
      <c r="AJ137" s="249"/>
      <c r="AK137" s="297">
        <f t="shared" si="221"/>
        <v>0</v>
      </c>
      <c r="AL137" s="303" t="e">
        <f>AK137/AK131</f>
        <v>#DIV/0!</v>
      </c>
      <c r="AM137" s="249"/>
      <c r="AN137" s="249"/>
      <c r="AO137" s="249"/>
      <c r="AP137" s="249"/>
      <c r="AQ137" s="249"/>
      <c r="AR137" s="297">
        <f t="shared" si="222"/>
        <v>0</v>
      </c>
      <c r="AS137" s="303" t="e">
        <f>AR137/AR131</f>
        <v>#DIV/0!</v>
      </c>
      <c r="AT137" s="249"/>
      <c r="AU137" s="249"/>
      <c r="AV137" s="249"/>
      <c r="AW137" s="249"/>
      <c r="AX137" s="249"/>
      <c r="AY137" s="297">
        <f t="shared" si="223"/>
        <v>0</v>
      </c>
      <c r="AZ137" s="303" t="e">
        <f>AY137/AY131</f>
        <v>#DIV/0!</v>
      </c>
      <c r="BA137" s="249"/>
      <c r="BB137" s="249"/>
      <c r="BC137" s="249"/>
      <c r="BD137" s="249"/>
      <c r="BE137" s="249"/>
      <c r="BF137" s="297">
        <f t="shared" si="224"/>
        <v>0</v>
      </c>
      <c r="BG137" s="303" t="e">
        <f>BF137/BF131</f>
        <v>#DIV/0!</v>
      </c>
      <c r="BH137" s="249"/>
      <c r="BI137" s="249"/>
      <c r="BJ137" s="249"/>
      <c r="BK137" s="249"/>
      <c r="BL137" s="249"/>
      <c r="BM137" s="297">
        <f t="shared" si="225"/>
        <v>0</v>
      </c>
      <c r="BN137" s="303" t="e">
        <f>BM137/BM131</f>
        <v>#DIV/0!</v>
      </c>
      <c r="BO137" s="249"/>
      <c r="BP137" s="249"/>
      <c r="BQ137" s="249"/>
      <c r="BR137" s="249"/>
      <c r="BS137" s="249"/>
      <c r="BT137" s="297">
        <f t="shared" si="226"/>
        <v>0</v>
      </c>
      <c r="BU137" s="303" t="e">
        <f>BT137/BT131</f>
        <v>#DIV/0!</v>
      </c>
      <c r="BV137" s="249"/>
      <c r="BW137" s="249"/>
      <c r="BX137" s="249"/>
      <c r="BY137" s="249"/>
      <c r="BZ137" s="249"/>
      <c r="CA137" s="297">
        <f t="shared" si="227"/>
        <v>0</v>
      </c>
      <c r="CB137" s="303" t="e">
        <f>CA137/CA131</f>
        <v>#DIV/0!</v>
      </c>
      <c r="CC137" s="249"/>
      <c r="CD137" s="249"/>
      <c r="CE137" s="249"/>
      <c r="CF137" s="249"/>
      <c r="CG137" s="249"/>
      <c r="CH137" s="297">
        <f t="shared" si="228"/>
        <v>0</v>
      </c>
      <c r="CI137" s="303" t="e">
        <f>CH137/CH131</f>
        <v>#DIV/0!</v>
      </c>
      <c r="CJ137" s="249"/>
      <c r="CK137" s="249"/>
      <c r="CL137" s="249"/>
      <c r="CM137" s="249"/>
      <c r="CN137" s="249"/>
      <c r="CO137" s="297">
        <f t="shared" si="229"/>
        <v>0</v>
      </c>
      <c r="CP137" s="303" t="e">
        <f>CO137/CO131</f>
        <v>#DIV/0!</v>
      </c>
      <c r="CQ137" s="249"/>
      <c r="CR137" s="249"/>
      <c r="CS137" s="249"/>
      <c r="CT137" s="249"/>
      <c r="CU137" s="249"/>
      <c r="CV137" s="297">
        <f t="shared" si="230"/>
        <v>0</v>
      </c>
      <c r="CW137" s="303" t="e">
        <f>CV137/CV131</f>
        <v>#DIV/0!</v>
      </c>
      <c r="CX137" s="249"/>
      <c r="CY137" s="249"/>
      <c r="CZ137" s="249"/>
      <c r="DA137" s="249"/>
      <c r="DB137" s="249"/>
      <c r="DC137" s="297">
        <f t="shared" si="231"/>
        <v>0</v>
      </c>
      <c r="DD137" s="303" t="e">
        <f>DC137/DC131</f>
        <v>#DIV/0!</v>
      </c>
      <c r="DE137" s="249"/>
      <c r="DF137" s="249"/>
      <c r="DG137" s="249"/>
      <c r="DH137" s="249"/>
      <c r="DI137" s="249"/>
      <c r="DJ137" s="297">
        <f t="shared" si="232"/>
        <v>0</v>
      </c>
      <c r="DK137" s="303" t="e">
        <f>DJ137/DJ131</f>
        <v>#DIV/0!</v>
      </c>
      <c r="DL137" s="249"/>
      <c r="DM137" s="249"/>
      <c r="DN137" s="249"/>
      <c r="DO137" s="249"/>
      <c r="DP137" s="249"/>
      <c r="DQ137" s="297">
        <f t="shared" si="233"/>
        <v>0</v>
      </c>
      <c r="DR137" s="303" t="e">
        <f>DQ137/DQ131</f>
        <v>#DIV/0!</v>
      </c>
      <c r="DS137" s="249"/>
      <c r="DT137" s="249"/>
      <c r="DU137" s="249"/>
      <c r="DV137" s="249"/>
      <c r="DW137" s="249"/>
      <c r="DX137" s="297">
        <f t="shared" si="234"/>
        <v>0</v>
      </c>
      <c r="DY137" s="303" t="e">
        <f>DX137/DX131</f>
        <v>#DIV/0!</v>
      </c>
      <c r="DZ137" s="249"/>
      <c r="EA137" s="249"/>
      <c r="EB137" s="249"/>
      <c r="EC137" s="249"/>
      <c r="ED137" s="249"/>
      <c r="EE137" s="297">
        <f t="shared" si="235"/>
        <v>0</v>
      </c>
      <c r="EF137" s="303" t="e">
        <f>EE137/EE131</f>
        <v>#DIV/0!</v>
      </c>
      <c r="EG137" s="249"/>
      <c r="EH137" s="249"/>
      <c r="EI137" s="249"/>
      <c r="EJ137" s="249"/>
      <c r="EK137" s="249"/>
      <c r="EL137" s="297">
        <f t="shared" si="236"/>
        <v>0</v>
      </c>
      <c r="EM137" s="303" t="e">
        <f>EL137/EL131</f>
        <v>#DIV/0!</v>
      </c>
      <c r="EN137" s="249"/>
      <c r="EO137" s="249"/>
      <c r="EP137" s="249"/>
      <c r="EQ137" s="249"/>
      <c r="ER137" s="249"/>
      <c r="ES137" s="297">
        <f t="shared" si="237"/>
        <v>0</v>
      </c>
      <c r="ET137" s="303" t="e">
        <f>ES137/ES131</f>
        <v>#DIV/0!</v>
      </c>
      <c r="EU137" s="249"/>
      <c r="EV137" s="249"/>
      <c r="EW137" s="249"/>
      <c r="EX137" s="249"/>
      <c r="EY137" s="249"/>
      <c r="EZ137" s="297">
        <f t="shared" si="238"/>
        <v>0</v>
      </c>
      <c r="FA137" s="303" t="e">
        <f>EZ137/EZ131</f>
        <v>#DIV/0!</v>
      </c>
      <c r="FB137" s="249"/>
      <c r="FC137" s="249"/>
      <c r="FD137" s="249"/>
      <c r="FE137" s="249"/>
      <c r="FF137" s="249"/>
      <c r="FG137" s="297">
        <f t="shared" si="239"/>
        <v>0</v>
      </c>
      <c r="FH137" s="303" t="e">
        <f>FG137/FG131</f>
        <v>#DIV/0!</v>
      </c>
      <c r="FI137" s="249"/>
      <c r="FJ137" s="249"/>
      <c r="FK137" s="249"/>
      <c r="FL137" s="249"/>
      <c r="FM137" s="249"/>
      <c r="FN137" s="297">
        <f t="shared" si="240"/>
        <v>0</v>
      </c>
      <c r="FO137" s="303" t="e">
        <f>FN137/FN131</f>
        <v>#DIV/0!</v>
      </c>
      <c r="FP137" s="249"/>
      <c r="FQ137" s="249"/>
      <c r="FR137" s="249"/>
      <c r="FS137" s="249"/>
      <c r="FT137" s="249"/>
      <c r="FU137" s="297">
        <f t="shared" si="241"/>
        <v>0</v>
      </c>
      <c r="FV137" s="303" t="e">
        <f>FU137/FU131</f>
        <v>#DIV/0!</v>
      </c>
      <c r="FW137" s="249"/>
      <c r="FX137" s="249"/>
      <c r="FY137" s="249"/>
      <c r="FZ137" s="249"/>
      <c r="GA137" s="249"/>
    </row>
    <row r="138" spans="1:183" ht="12.75">
      <c r="A138" s="308" t="s">
        <v>284</v>
      </c>
      <c r="B138" s="297"/>
      <c r="C138" s="309"/>
      <c r="D138" s="249"/>
      <c r="E138" s="249"/>
      <c r="F138" s="249"/>
      <c r="G138" s="249"/>
      <c r="H138" s="249"/>
      <c r="I138" s="297"/>
      <c r="J138" s="303" t="e">
        <f>I138/I132</f>
        <v>#DIV/0!</v>
      </c>
      <c r="K138" s="249"/>
      <c r="L138" s="249"/>
      <c r="M138" s="249"/>
      <c r="N138" s="249"/>
      <c r="O138" s="249"/>
      <c r="P138" s="297"/>
      <c r="Q138" s="303" t="e">
        <f>P138/P132</f>
        <v>#DIV/0!</v>
      </c>
      <c r="R138" s="249"/>
      <c r="S138" s="249"/>
      <c r="T138" s="249"/>
      <c r="U138" s="249"/>
      <c r="V138" s="249"/>
      <c r="W138" s="297"/>
      <c r="X138" s="303" t="e">
        <f>W138/W132</f>
        <v>#DIV/0!</v>
      </c>
      <c r="Y138" s="249"/>
      <c r="Z138" s="249"/>
      <c r="AA138" s="249"/>
      <c r="AB138" s="249"/>
      <c r="AC138" s="249"/>
      <c r="AD138" s="297"/>
      <c r="AE138" s="309"/>
      <c r="AF138" s="249"/>
      <c r="AG138" s="249"/>
      <c r="AH138" s="249"/>
      <c r="AI138" s="249"/>
      <c r="AJ138" s="249"/>
      <c r="AK138" s="297"/>
      <c r="AL138" s="309"/>
      <c r="AM138" s="249"/>
      <c r="AN138" s="249"/>
      <c r="AO138" s="249"/>
      <c r="AP138" s="249"/>
      <c r="AQ138" s="249"/>
      <c r="AR138" s="297"/>
      <c r="AS138" s="309"/>
      <c r="AT138" s="249"/>
      <c r="AU138" s="249"/>
      <c r="AV138" s="249"/>
      <c r="AW138" s="249"/>
      <c r="AX138" s="249"/>
      <c r="AY138" s="297"/>
      <c r="AZ138" s="309"/>
      <c r="BA138" s="249"/>
      <c r="BB138" s="249"/>
      <c r="BC138" s="249"/>
      <c r="BD138" s="249"/>
      <c r="BE138" s="249"/>
      <c r="BF138" s="297"/>
      <c r="BG138" s="309"/>
      <c r="BH138" s="249"/>
      <c r="BI138" s="249"/>
      <c r="BJ138" s="249"/>
      <c r="BK138" s="249"/>
      <c r="BL138" s="249"/>
      <c r="BM138" s="297"/>
      <c r="BN138" s="309"/>
      <c r="BO138" s="249"/>
      <c r="BP138" s="249"/>
      <c r="BQ138" s="249"/>
      <c r="BR138" s="249"/>
      <c r="BS138" s="249"/>
      <c r="BT138" s="297"/>
      <c r="BU138" s="309"/>
      <c r="BV138" s="249"/>
      <c r="BW138" s="249"/>
      <c r="BX138" s="249"/>
      <c r="BY138" s="249"/>
      <c r="BZ138" s="249"/>
      <c r="CA138" s="297"/>
      <c r="CB138" s="309"/>
      <c r="CC138" s="249"/>
      <c r="CD138" s="249"/>
      <c r="CE138" s="249"/>
      <c r="CF138" s="249"/>
      <c r="CG138" s="249"/>
      <c r="CH138" s="297"/>
      <c r="CI138" s="309"/>
      <c r="CJ138" s="249"/>
      <c r="CK138" s="249"/>
      <c r="CL138" s="249"/>
      <c r="CM138" s="249"/>
      <c r="CN138" s="249"/>
      <c r="CO138" s="297"/>
      <c r="CP138" s="309"/>
      <c r="CQ138" s="249"/>
      <c r="CR138" s="249"/>
      <c r="CS138" s="249"/>
      <c r="CT138" s="249"/>
      <c r="CU138" s="249"/>
      <c r="CV138" s="297"/>
      <c r="CW138" s="309"/>
      <c r="CX138" s="249"/>
      <c r="CY138" s="249"/>
      <c r="CZ138" s="249"/>
      <c r="DA138" s="249"/>
      <c r="DB138" s="249"/>
      <c r="DC138" s="297"/>
      <c r="DD138" s="309"/>
      <c r="DE138" s="249"/>
      <c r="DF138" s="249"/>
      <c r="DG138" s="249"/>
      <c r="DH138" s="249"/>
      <c r="DI138" s="249"/>
      <c r="DJ138" s="297"/>
      <c r="DK138" s="309"/>
      <c r="DL138" s="249"/>
      <c r="DM138" s="249"/>
      <c r="DN138" s="249"/>
      <c r="DO138" s="249"/>
      <c r="DP138" s="249"/>
      <c r="DQ138" s="297"/>
      <c r="DR138" s="309"/>
      <c r="DS138" s="249"/>
      <c r="DT138" s="249"/>
      <c r="DU138" s="249"/>
      <c r="DV138" s="249"/>
      <c r="DW138" s="249"/>
      <c r="DX138" s="297"/>
      <c r="DY138" s="309"/>
      <c r="DZ138" s="249"/>
      <c r="EA138" s="249"/>
      <c r="EB138" s="249"/>
      <c r="EC138" s="249"/>
      <c r="ED138" s="249"/>
      <c r="EE138" s="297"/>
      <c r="EF138" s="309"/>
      <c r="EG138" s="249"/>
      <c r="EH138" s="249"/>
      <c r="EI138" s="249"/>
      <c r="EJ138" s="249"/>
      <c r="EK138" s="249"/>
      <c r="EL138" s="297"/>
      <c r="EM138" s="309"/>
      <c r="EN138" s="249"/>
      <c r="EO138" s="249"/>
      <c r="EP138" s="249"/>
      <c r="EQ138" s="249"/>
      <c r="ER138" s="249"/>
      <c r="ES138" s="297"/>
      <c r="ET138" s="309"/>
      <c r="EU138" s="249"/>
      <c r="EV138" s="249"/>
      <c r="EW138" s="249"/>
      <c r="EX138" s="249"/>
      <c r="EY138" s="249"/>
      <c r="EZ138" s="297"/>
      <c r="FA138" s="309"/>
      <c r="FB138" s="249"/>
      <c r="FC138" s="249"/>
      <c r="FD138" s="249"/>
      <c r="FE138" s="249"/>
      <c r="FF138" s="249"/>
      <c r="FG138" s="297"/>
      <c r="FH138" s="309"/>
      <c r="FI138" s="249"/>
      <c r="FJ138" s="249"/>
      <c r="FK138" s="249"/>
      <c r="FL138" s="249"/>
      <c r="FM138" s="249"/>
      <c r="FN138" s="297"/>
      <c r="FO138" s="309"/>
      <c r="FP138" s="249"/>
      <c r="FQ138" s="249"/>
      <c r="FR138" s="249"/>
      <c r="FS138" s="249"/>
      <c r="FT138" s="249"/>
      <c r="FU138" s="297"/>
      <c r="FV138" s="309"/>
      <c r="FW138" s="249"/>
      <c r="FX138" s="249"/>
      <c r="FY138" s="249"/>
      <c r="FZ138" s="249"/>
      <c r="GA138" s="249"/>
    </row>
    <row r="139" spans="1:183" ht="12.75">
      <c r="A139" s="310" t="s">
        <v>285</v>
      </c>
      <c r="B139" s="297">
        <f>SUM(B108:H108)</f>
        <v>0</v>
      </c>
      <c r="C139" s="311"/>
      <c r="D139" s="249"/>
      <c r="E139" s="249"/>
      <c r="F139" s="249"/>
      <c r="G139" s="249"/>
      <c r="H139" s="249"/>
      <c r="I139" s="297">
        <f>SUM(I108:O108)</f>
        <v>0</v>
      </c>
      <c r="J139" s="311"/>
      <c r="K139" s="249"/>
      <c r="L139" s="249"/>
      <c r="M139" s="249"/>
      <c r="N139" s="249"/>
      <c r="O139" s="249"/>
      <c r="P139" s="297">
        <f>SUM(P108:V108)</f>
        <v>0</v>
      </c>
      <c r="Q139" s="311"/>
      <c r="R139" s="249"/>
      <c r="S139" s="249"/>
      <c r="T139" s="249"/>
      <c r="U139" s="249"/>
      <c r="V139" s="249"/>
      <c r="W139" s="297">
        <f>SUM(W108:AC108)</f>
        <v>0</v>
      </c>
      <c r="X139" s="311"/>
      <c r="Y139" s="249"/>
      <c r="Z139" s="249"/>
      <c r="AA139" s="249"/>
      <c r="AB139" s="249"/>
      <c r="AC139" s="249"/>
      <c r="AD139" s="297">
        <f>SUM(AD108:AJ108)</f>
        <v>0</v>
      </c>
      <c r="AE139" s="311"/>
      <c r="AF139" s="249"/>
      <c r="AG139" s="249"/>
      <c r="AH139" s="249"/>
      <c r="AI139" s="249"/>
      <c r="AJ139" s="249"/>
      <c r="AK139" s="297">
        <f>SUM(AK108:AQ108)</f>
        <v>0</v>
      </c>
      <c r="AL139" s="311"/>
      <c r="AM139" s="249"/>
      <c r="AN139" s="249"/>
      <c r="AO139" s="249"/>
      <c r="AP139" s="249"/>
      <c r="AQ139" s="249"/>
      <c r="AR139" s="297">
        <f>SUM(AR108:AX108)</f>
        <v>0</v>
      </c>
      <c r="AS139" s="311"/>
      <c r="AT139" s="249"/>
      <c r="AU139" s="249"/>
      <c r="AV139" s="249"/>
      <c r="AW139" s="249"/>
      <c r="AX139" s="249"/>
      <c r="AY139" s="297">
        <f>SUM(AY108:BE108)</f>
        <v>0</v>
      </c>
      <c r="AZ139" s="311"/>
      <c r="BA139" s="249"/>
      <c r="BB139" s="249"/>
      <c r="BC139" s="249"/>
      <c r="BD139" s="249"/>
      <c r="BE139" s="249"/>
      <c r="BF139" s="297">
        <f>SUM(BF108:BL108)</f>
        <v>0</v>
      </c>
      <c r="BG139" s="311"/>
      <c r="BH139" s="249"/>
      <c r="BI139" s="249"/>
      <c r="BJ139" s="249"/>
      <c r="BK139" s="249"/>
      <c r="BL139" s="249"/>
      <c r="BM139" s="297">
        <f>SUM(BM108:BS108)</f>
        <v>0</v>
      </c>
      <c r="BN139" s="311"/>
      <c r="BO139" s="249"/>
      <c r="BP139" s="249"/>
      <c r="BQ139" s="249"/>
      <c r="BR139" s="249"/>
      <c r="BS139" s="249"/>
      <c r="BT139" s="297">
        <f>SUM(BT108:BZ108)</f>
        <v>0</v>
      </c>
      <c r="BU139" s="311"/>
      <c r="BV139" s="249"/>
      <c r="BW139" s="249"/>
      <c r="BX139" s="249"/>
      <c r="BY139" s="249"/>
      <c r="BZ139" s="249"/>
      <c r="CA139" s="297">
        <f>SUM(CA108:CG108)</f>
        <v>0</v>
      </c>
      <c r="CB139" s="311"/>
      <c r="CC139" s="249"/>
      <c r="CD139" s="249"/>
      <c r="CE139" s="249"/>
      <c r="CF139" s="249"/>
      <c r="CG139" s="249"/>
      <c r="CH139" s="297">
        <f>SUM(CH108:CN108)</f>
        <v>0</v>
      </c>
      <c r="CI139" s="311"/>
      <c r="CJ139" s="249"/>
      <c r="CK139" s="249"/>
      <c r="CL139" s="249"/>
      <c r="CM139" s="249"/>
      <c r="CN139" s="249"/>
      <c r="CO139" s="297">
        <f>SUM(CO108:CU108)</f>
        <v>0</v>
      </c>
      <c r="CP139" s="311"/>
      <c r="CQ139" s="249"/>
      <c r="CR139" s="249"/>
      <c r="CS139" s="249"/>
      <c r="CT139" s="249"/>
      <c r="CU139" s="249"/>
      <c r="CV139" s="297">
        <f>SUM(CV108:DB108)</f>
        <v>0</v>
      </c>
      <c r="CW139" s="311"/>
      <c r="CX139" s="249"/>
      <c r="CY139" s="249"/>
      <c r="CZ139" s="249"/>
      <c r="DA139" s="249"/>
      <c r="DB139" s="249"/>
      <c r="DC139" s="297">
        <f>SUM(DC108:DI108)</f>
        <v>0</v>
      </c>
      <c r="DD139" s="311"/>
      <c r="DE139" s="249"/>
      <c r="DF139" s="249"/>
      <c r="DG139" s="249"/>
      <c r="DH139" s="249"/>
      <c r="DI139" s="249"/>
      <c r="DJ139" s="297">
        <f>SUM(DJ108:DP108)</f>
        <v>0</v>
      </c>
      <c r="DK139" s="311"/>
      <c r="DL139" s="249"/>
      <c r="DM139" s="249"/>
      <c r="DN139" s="249"/>
      <c r="DO139" s="249"/>
      <c r="DP139" s="249"/>
      <c r="DQ139" s="297">
        <f>SUM(DQ108:DW108)</f>
        <v>0</v>
      </c>
      <c r="DR139" s="311"/>
      <c r="DS139" s="249"/>
      <c r="DT139" s="249"/>
      <c r="DU139" s="249"/>
      <c r="DV139" s="249"/>
      <c r="DW139" s="249"/>
      <c r="DX139" s="297">
        <f>SUM(DX108:ED108)</f>
        <v>0</v>
      </c>
      <c r="DY139" s="311"/>
      <c r="DZ139" s="249"/>
      <c r="EA139" s="249"/>
      <c r="EB139" s="249"/>
      <c r="EC139" s="249"/>
      <c r="ED139" s="249"/>
      <c r="EE139" s="297">
        <f>SUM(EE108:EK108)</f>
        <v>0</v>
      </c>
      <c r="EF139" s="311"/>
      <c r="EG139" s="249"/>
      <c r="EH139" s="249"/>
      <c r="EI139" s="249"/>
      <c r="EJ139" s="249"/>
      <c r="EK139" s="249"/>
      <c r="EL139" s="297">
        <f>SUM(EL108:ER108)</f>
        <v>0</v>
      </c>
      <c r="EM139" s="311"/>
      <c r="EN139" s="249"/>
      <c r="EO139" s="249"/>
      <c r="EP139" s="249"/>
      <c r="EQ139" s="249"/>
      <c r="ER139" s="249"/>
      <c r="ES139" s="297">
        <f>SUM(ES108:EY108)</f>
        <v>0</v>
      </c>
      <c r="ET139" s="311"/>
      <c r="EU139" s="249"/>
      <c r="EV139" s="249"/>
      <c r="EW139" s="249"/>
      <c r="EX139" s="249"/>
      <c r="EY139" s="249"/>
      <c r="EZ139" s="297">
        <f>SUM(EZ108:FF108)</f>
        <v>0</v>
      </c>
      <c r="FA139" s="311"/>
      <c r="FB139" s="249"/>
      <c r="FC139" s="249"/>
      <c r="FD139" s="249"/>
      <c r="FE139" s="249"/>
      <c r="FF139" s="249"/>
      <c r="FG139" s="297">
        <f>SUM(FG108:FM108)</f>
        <v>0</v>
      </c>
      <c r="FH139" s="311"/>
      <c r="FI139" s="249"/>
      <c r="FJ139" s="249"/>
      <c r="FK139" s="249"/>
      <c r="FL139" s="249"/>
      <c r="FM139" s="249"/>
      <c r="FN139" s="297">
        <f>SUM(FN108:FT108)</f>
        <v>0</v>
      </c>
      <c r="FO139" s="311"/>
      <c r="FP139" s="249"/>
      <c r="FQ139" s="249"/>
      <c r="FR139" s="249"/>
      <c r="FS139" s="249"/>
      <c r="FT139" s="249"/>
      <c r="FU139" s="297">
        <f>SUM(FU108:GA108)</f>
        <v>0</v>
      </c>
      <c r="FV139" s="311"/>
      <c r="FW139" s="249"/>
      <c r="FX139" s="249"/>
      <c r="FY139" s="249"/>
      <c r="FZ139" s="249"/>
      <c r="GA139" s="249"/>
    </row>
    <row r="140" spans="1:183" ht="12.75">
      <c r="A140" s="310" t="s">
        <v>286</v>
      </c>
      <c r="B140" s="297">
        <f>SUM(B109:H109)</f>
        <v>0</v>
      </c>
      <c r="C140" s="311"/>
      <c r="D140" s="249"/>
      <c r="E140" s="249"/>
      <c r="F140" s="249"/>
      <c r="G140" s="249"/>
      <c r="H140" s="249"/>
      <c r="I140" s="297">
        <f>SUM(I109:O109)</f>
        <v>0</v>
      </c>
      <c r="J140" s="311"/>
      <c r="K140" s="249"/>
      <c r="L140" s="249"/>
      <c r="M140" s="249"/>
      <c r="N140" s="249"/>
      <c r="O140" s="249"/>
      <c r="P140" s="297">
        <f>SUM(P109:V109)</f>
        <v>0</v>
      </c>
      <c r="Q140" s="311"/>
      <c r="R140" s="249"/>
      <c r="S140" s="249"/>
      <c r="T140" s="249"/>
      <c r="U140" s="249"/>
      <c r="V140" s="249"/>
      <c r="W140" s="297">
        <f>SUM(W109:AC109)</f>
        <v>0</v>
      </c>
      <c r="X140" s="311"/>
      <c r="Y140" s="249"/>
      <c r="Z140" s="249"/>
      <c r="AA140" s="249"/>
      <c r="AB140" s="249"/>
      <c r="AC140" s="249"/>
      <c r="AD140" s="297">
        <f>SUM(AD109:AJ109)</f>
        <v>0</v>
      </c>
      <c r="AE140" s="311"/>
      <c r="AF140" s="249"/>
      <c r="AG140" s="249"/>
      <c r="AH140" s="249"/>
      <c r="AI140" s="249"/>
      <c r="AJ140" s="249"/>
      <c r="AK140" s="297">
        <f>SUM(AK109:AQ109)</f>
        <v>0</v>
      </c>
      <c r="AL140" s="311"/>
      <c r="AM140" s="249"/>
      <c r="AN140" s="249"/>
      <c r="AO140" s="249"/>
      <c r="AP140" s="249"/>
      <c r="AQ140" s="249"/>
      <c r="AR140" s="297">
        <f>SUM(AR109:AX109)</f>
        <v>0</v>
      </c>
      <c r="AS140" s="311"/>
      <c r="AT140" s="249"/>
      <c r="AU140" s="249"/>
      <c r="AV140" s="249"/>
      <c r="AW140" s="249"/>
      <c r="AX140" s="249"/>
      <c r="AY140" s="297">
        <f>SUM(AY109:BE109)</f>
        <v>0</v>
      </c>
      <c r="AZ140" s="311"/>
      <c r="BA140" s="249"/>
      <c r="BB140" s="249"/>
      <c r="BC140" s="249"/>
      <c r="BD140" s="249"/>
      <c r="BE140" s="249"/>
      <c r="BF140" s="297">
        <f>SUM(BF109:BL109)</f>
        <v>0</v>
      </c>
      <c r="BG140" s="311"/>
      <c r="BH140" s="249"/>
      <c r="BI140" s="249"/>
      <c r="BJ140" s="249"/>
      <c r="BK140" s="249"/>
      <c r="BL140" s="249"/>
      <c r="BM140" s="297">
        <f>SUM(BM109:BS109)</f>
        <v>0</v>
      </c>
      <c r="BN140" s="311"/>
      <c r="BO140" s="249"/>
      <c r="BP140" s="249"/>
      <c r="BQ140" s="249"/>
      <c r="BR140" s="249"/>
      <c r="BS140" s="249"/>
      <c r="BT140" s="297">
        <f>SUM(BT109:BZ109)</f>
        <v>0</v>
      </c>
      <c r="BU140" s="311"/>
      <c r="BV140" s="249"/>
      <c r="BW140" s="249"/>
      <c r="BX140" s="249"/>
      <c r="BY140" s="249"/>
      <c r="BZ140" s="249"/>
      <c r="CA140" s="297">
        <f>SUM(CA109:CG109)</f>
        <v>0</v>
      </c>
      <c r="CB140" s="311"/>
      <c r="CC140" s="249"/>
      <c r="CD140" s="249"/>
      <c r="CE140" s="249"/>
      <c r="CF140" s="249"/>
      <c r="CG140" s="249"/>
      <c r="CH140" s="297">
        <f>SUM(CH109:CN109)</f>
        <v>0</v>
      </c>
      <c r="CI140" s="311"/>
      <c r="CJ140" s="249"/>
      <c r="CK140" s="249"/>
      <c r="CL140" s="249"/>
      <c r="CM140" s="249"/>
      <c r="CN140" s="249"/>
      <c r="CO140" s="297">
        <f>SUM(CO109:CU109)</f>
        <v>0</v>
      </c>
      <c r="CP140" s="311"/>
      <c r="CQ140" s="249"/>
      <c r="CR140" s="249"/>
      <c r="CS140" s="249"/>
      <c r="CT140" s="249"/>
      <c r="CU140" s="249"/>
      <c r="CV140" s="297">
        <f>SUM(CV109:DB109)</f>
        <v>0</v>
      </c>
      <c r="CW140" s="311"/>
      <c r="CX140" s="249"/>
      <c r="CY140" s="249"/>
      <c r="CZ140" s="249"/>
      <c r="DA140" s="249"/>
      <c r="DB140" s="249"/>
      <c r="DC140" s="297">
        <f>SUM(DC109:DI109)</f>
        <v>0</v>
      </c>
      <c r="DD140" s="311"/>
      <c r="DE140" s="249"/>
      <c r="DF140" s="249"/>
      <c r="DG140" s="249"/>
      <c r="DH140" s="249"/>
      <c r="DI140" s="249"/>
      <c r="DJ140" s="297">
        <f>SUM(DJ109:DP109)</f>
        <v>0</v>
      </c>
      <c r="DK140" s="311"/>
      <c r="DL140" s="249"/>
      <c r="DM140" s="249"/>
      <c r="DN140" s="249"/>
      <c r="DO140" s="249"/>
      <c r="DP140" s="249"/>
      <c r="DQ140" s="297">
        <f>SUM(DQ109:DW109)</f>
        <v>0</v>
      </c>
      <c r="DR140" s="311"/>
      <c r="DS140" s="249"/>
      <c r="DT140" s="249"/>
      <c r="DU140" s="249"/>
      <c r="DV140" s="249"/>
      <c r="DW140" s="249"/>
      <c r="DX140" s="297">
        <f>SUM(DX109:ED109)</f>
        <v>0</v>
      </c>
      <c r="DY140" s="311"/>
      <c r="DZ140" s="249"/>
      <c r="EA140" s="249"/>
      <c r="EB140" s="249"/>
      <c r="EC140" s="249"/>
      <c r="ED140" s="249"/>
      <c r="EE140" s="297">
        <f>SUM(EE109:EK109)</f>
        <v>0</v>
      </c>
      <c r="EF140" s="311"/>
      <c r="EG140" s="249"/>
      <c r="EH140" s="249"/>
      <c r="EI140" s="249"/>
      <c r="EJ140" s="249"/>
      <c r="EK140" s="249"/>
      <c r="EL140" s="297">
        <f>SUM(EL109:ER109)</f>
        <v>0</v>
      </c>
      <c r="EM140" s="311"/>
      <c r="EN140" s="249"/>
      <c r="EO140" s="249"/>
      <c r="EP140" s="249"/>
      <c r="EQ140" s="249"/>
      <c r="ER140" s="249"/>
      <c r="ES140" s="297">
        <f>SUM(ES109:EY109)</f>
        <v>0</v>
      </c>
      <c r="ET140" s="311"/>
      <c r="EU140" s="249"/>
      <c r="EV140" s="249"/>
      <c r="EW140" s="249"/>
      <c r="EX140" s="249"/>
      <c r="EY140" s="249"/>
      <c r="EZ140" s="297">
        <f>SUM(EZ109:FF109)</f>
        <v>0</v>
      </c>
      <c r="FA140" s="311"/>
      <c r="FB140" s="249"/>
      <c r="FC140" s="249"/>
      <c r="FD140" s="249"/>
      <c r="FE140" s="249"/>
      <c r="FF140" s="249"/>
      <c r="FG140" s="297">
        <f>SUM(FG109:FM109)</f>
        <v>0</v>
      </c>
      <c r="FH140" s="311"/>
      <c r="FI140" s="249"/>
      <c r="FJ140" s="249"/>
      <c r="FK140" s="249"/>
      <c r="FL140" s="249"/>
      <c r="FM140" s="249"/>
      <c r="FN140" s="297">
        <f>SUM(FN109:FT109)</f>
        <v>0</v>
      </c>
      <c r="FO140" s="311"/>
      <c r="FP140" s="249"/>
      <c r="FQ140" s="249"/>
      <c r="FR140" s="249"/>
      <c r="FS140" s="249"/>
      <c r="FT140" s="249"/>
      <c r="FU140" s="297">
        <f>SUM(FU109:GA109)</f>
        <v>0</v>
      </c>
      <c r="FV140" s="311"/>
      <c r="FW140" s="249"/>
      <c r="FX140" s="249"/>
      <c r="FY140" s="249"/>
      <c r="FZ140" s="249"/>
      <c r="GA140" s="249"/>
    </row>
    <row r="141" spans="1:183" ht="12.75">
      <c r="A141" s="299" t="s">
        <v>287</v>
      </c>
      <c r="B141" s="297">
        <f>SUM(B110:H110)</f>
        <v>0</v>
      </c>
      <c r="C141" s="311"/>
      <c r="D141" s="249"/>
      <c r="E141" s="249"/>
      <c r="F141" s="249"/>
      <c r="G141" s="249"/>
      <c r="H141" s="249"/>
      <c r="I141" s="297">
        <f>SUM(I110:O110)</f>
        <v>0</v>
      </c>
      <c r="J141" s="311"/>
      <c r="K141" s="249"/>
      <c r="L141" s="249"/>
      <c r="M141" s="249"/>
      <c r="N141" s="249"/>
      <c r="O141" s="249"/>
      <c r="P141" s="297">
        <f>SUM(P110:V110)</f>
        <v>0</v>
      </c>
      <c r="Q141" s="311"/>
      <c r="R141" s="249"/>
      <c r="S141" s="249"/>
      <c r="T141" s="249"/>
      <c r="U141" s="249"/>
      <c r="V141" s="249"/>
      <c r="W141" s="297">
        <f>SUM(W110:AC110)</f>
        <v>0</v>
      </c>
      <c r="X141" s="311"/>
      <c r="Y141" s="249"/>
      <c r="Z141" s="249"/>
      <c r="AA141" s="249"/>
      <c r="AB141" s="249"/>
      <c r="AC141" s="249"/>
      <c r="AD141" s="297">
        <f>SUM(AD110:AJ110)</f>
        <v>0</v>
      </c>
      <c r="AE141" s="311"/>
      <c r="AF141" s="249"/>
      <c r="AG141" s="249"/>
      <c r="AH141" s="249"/>
      <c r="AI141" s="249"/>
      <c r="AJ141" s="249"/>
      <c r="AK141" s="297">
        <f>SUM(AK110:AQ110)</f>
        <v>0</v>
      </c>
      <c r="AL141" s="311"/>
      <c r="AM141" s="249"/>
      <c r="AN141" s="249"/>
      <c r="AO141" s="249"/>
      <c r="AP141" s="249"/>
      <c r="AQ141" s="249"/>
      <c r="AR141" s="297">
        <f>SUM(AR110:AX110)</f>
        <v>0</v>
      </c>
      <c r="AS141" s="311"/>
      <c r="AT141" s="249"/>
      <c r="AU141" s="249"/>
      <c r="AV141" s="249"/>
      <c r="AW141" s="249"/>
      <c r="AX141" s="249"/>
      <c r="AY141" s="297">
        <f>SUM(AY110:BE110)</f>
        <v>0</v>
      </c>
      <c r="AZ141" s="311"/>
      <c r="BA141" s="249"/>
      <c r="BB141" s="249"/>
      <c r="BC141" s="249"/>
      <c r="BD141" s="249"/>
      <c r="BE141" s="249"/>
      <c r="BF141" s="297">
        <f>SUM(BF110:BL110)</f>
        <v>0</v>
      </c>
      <c r="BG141" s="311"/>
      <c r="BH141" s="249"/>
      <c r="BI141" s="249"/>
      <c r="BJ141" s="249"/>
      <c r="BK141" s="249"/>
      <c r="BL141" s="249"/>
      <c r="BM141" s="297">
        <f>SUM(BM110:BS110)</f>
        <v>0</v>
      </c>
      <c r="BN141" s="311"/>
      <c r="BO141" s="249"/>
      <c r="BP141" s="249"/>
      <c r="BQ141" s="249"/>
      <c r="BR141" s="249"/>
      <c r="BS141" s="249"/>
      <c r="BT141" s="297">
        <f>SUM(BT110:BZ110)</f>
        <v>0</v>
      </c>
      <c r="BU141" s="311"/>
      <c r="BV141" s="249"/>
      <c r="BW141" s="249"/>
      <c r="BX141" s="249"/>
      <c r="BY141" s="249"/>
      <c r="BZ141" s="249"/>
      <c r="CA141" s="297">
        <f>SUM(CA110:CG110)</f>
        <v>0</v>
      </c>
      <c r="CB141" s="311"/>
      <c r="CC141" s="249"/>
      <c r="CD141" s="249"/>
      <c r="CE141" s="249"/>
      <c r="CF141" s="249"/>
      <c r="CG141" s="249"/>
      <c r="CH141" s="297">
        <f>SUM(CH110:CN110)</f>
        <v>0</v>
      </c>
      <c r="CI141" s="311"/>
      <c r="CJ141" s="249"/>
      <c r="CK141" s="249"/>
      <c r="CL141" s="249"/>
      <c r="CM141" s="249"/>
      <c r="CN141" s="249"/>
      <c r="CO141" s="297">
        <f>SUM(CO110:CU110)</f>
        <v>0</v>
      </c>
      <c r="CP141" s="311"/>
      <c r="CQ141" s="249"/>
      <c r="CR141" s="249"/>
      <c r="CS141" s="249"/>
      <c r="CT141" s="249"/>
      <c r="CU141" s="249"/>
      <c r="CV141" s="297">
        <f>SUM(CV110:DB110)</f>
        <v>0</v>
      </c>
      <c r="CW141" s="311"/>
      <c r="CX141" s="249"/>
      <c r="CY141" s="249"/>
      <c r="CZ141" s="249"/>
      <c r="DA141" s="249"/>
      <c r="DB141" s="249"/>
      <c r="DC141" s="297">
        <f>SUM(DC110:DI110)</f>
        <v>0</v>
      </c>
      <c r="DD141" s="311"/>
      <c r="DE141" s="249"/>
      <c r="DF141" s="249"/>
      <c r="DG141" s="249"/>
      <c r="DH141" s="249"/>
      <c r="DI141" s="249"/>
      <c r="DJ141" s="297">
        <f>SUM(DJ110:DP110)</f>
        <v>0</v>
      </c>
      <c r="DK141" s="311"/>
      <c r="DL141" s="249"/>
      <c r="DM141" s="249"/>
      <c r="DN141" s="249"/>
      <c r="DO141" s="249"/>
      <c r="DP141" s="249"/>
      <c r="DQ141" s="297">
        <f>SUM(DQ110:DW110)</f>
        <v>0</v>
      </c>
      <c r="DR141" s="311"/>
      <c r="DS141" s="249"/>
      <c r="DT141" s="249"/>
      <c r="DU141" s="249"/>
      <c r="DV141" s="249"/>
      <c r="DW141" s="249"/>
      <c r="DX141" s="297">
        <f>SUM(DX110:ED110)</f>
        <v>0</v>
      </c>
      <c r="DY141" s="311"/>
      <c r="DZ141" s="249"/>
      <c r="EA141" s="249"/>
      <c r="EB141" s="249"/>
      <c r="EC141" s="249"/>
      <c r="ED141" s="249"/>
      <c r="EE141" s="297">
        <f>SUM(EE110:EK110)</f>
        <v>0</v>
      </c>
      <c r="EF141" s="311"/>
      <c r="EG141" s="249"/>
      <c r="EH141" s="249"/>
      <c r="EI141" s="249"/>
      <c r="EJ141" s="249"/>
      <c r="EK141" s="249"/>
      <c r="EL141" s="297">
        <f>SUM(EL110:ER110)</f>
        <v>0</v>
      </c>
      <c r="EM141" s="311"/>
      <c r="EN141" s="249"/>
      <c r="EO141" s="249"/>
      <c r="EP141" s="249"/>
      <c r="EQ141" s="249"/>
      <c r="ER141" s="249"/>
      <c r="ES141" s="297">
        <f>SUM(ES110:EY110)</f>
        <v>0</v>
      </c>
      <c r="ET141" s="311"/>
      <c r="EU141" s="249"/>
      <c r="EV141" s="249"/>
      <c r="EW141" s="249"/>
      <c r="EX141" s="249"/>
      <c r="EY141" s="249"/>
      <c r="EZ141" s="297">
        <f>SUM(EZ110:FF110)</f>
        <v>0</v>
      </c>
      <c r="FA141" s="311"/>
      <c r="FB141" s="249"/>
      <c r="FC141" s="249"/>
      <c r="FD141" s="249"/>
      <c r="FE141" s="249"/>
      <c r="FF141" s="249"/>
      <c r="FG141" s="297">
        <f>SUM(FG110:FM110)</f>
        <v>0</v>
      </c>
      <c r="FH141" s="311"/>
      <c r="FI141" s="249"/>
      <c r="FJ141" s="249"/>
      <c r="FK141" s="249"/>
      <c r="FL141" s="249"/>
      <c r="FM141" s="249"/>
      <c r="FN141" s="297">
        <f>SUM(FN110:FT110)</f>
        <v>0</v>
      </c>
      <c r="FO141" s="311"/>
      <c r="FP141" s="249"/>
      <c r="FQ141" s="249"/>
      <c r="FR141" s="249"/>
      <c r="FS141" s="249"/>
      <c r="FT141" s="249"/>
      <c r="FU141" s="297">
        <f>SUM(FU110:GA110)</f>
        <v>0</v>
      </c>
      <c r="FV141" s="311"/>
      <c r="FW141" s="249"/>
      <c r="FX141" s="249"/>
      <c r="FY141" s="249"/>
      <c r="FZ141" s="249"/>
      <c r="GA141" s="249"/>
    </row>
    <row r="142" spans="1:183" ht="12.75">
      <c r="A142" s="312" t="s">
        <v>288</v>
      </c>
      <c r="B142" s="297">
        <f>SUM(B111:H111)</f>
        <v>0</v>
      </c>
      <c r="C142" s="311"/>
      <c r="D142" s="249"/>
      <c r="E142" s="249"/>
      <c r="F142" s="249"/>
      <c r="G142" s="249"/>
      <c r="H142" s="249"/>
      <c r="I142" s="297">
        <f>SUM(I111:O111)</f>
        <v>0</v>
      </c>
      <c r="J142" s="311"/>
      <c r="K142" s="249"/>
      <c r="L142" s="249"/>
      <c r="M142" s="249"/>
      <c r="N142" s="249"/>
      <c r="O142" s="249"/>
      <c r="P142" s="297">
        <f>SUM(P111:V111)</f>
        <v>0</v>
      </c>
      <c r="Q142" s="311"/>
      <c r="R142" s="249"/>
      <c r="S142" s="249"/>
      <c r="T142" s="249"/>
      <c r="U142" s="249"/>
      <c r="V142" s="249"/>
      <c r="W142" s="297">
        <f>SUM(W111:AC111)</f>
        <v>0</v>
      </c>
      <c r="X142" s="311"/>
      <c r="Y142" s="249"/>
      <c r="Z142" s="249"/>
      <c r="AA142" s="249"/>
      <c r="AB142" s="249"/>
      <c r="AC142" s="249"/>
      <c r="AD142" s="297">
        <f>SUM(AD111:AJ111)</f>
        <v>0</v>
      </c>
      <c r="AE142" s="311"/>
      <c r="AF142" s="249"/>
      <c r="AG142" s="249"/>
      <c r="AH142" s="249"/>
      <c r="AI142" s="249"/>
      <c r="AJ142" s="249"/>
      <c r="AK142" s="297">
        <f>SUM(AK111:AQ111)</f>
        <v>0</v>
      </c>
      <c r="AL142" s="311"/>
      <c r="AM142" s="249"/>
      <c r="AN142" s="249"/>
      <c r="AO142" s="249"/>
      <c r="AP142" s="249"/>
      <c r="AQ142" s="249"/>
      <c r="AR142" s="297">
        <f>SUM(AR111:AX111)</f>
        <v>0</v>
      </c>
      <c r="AS142" s="311"/>
      <c r="AT142" s="249"/>
      <c r="AU142" s="249"/>
      <c r="AV142" s="249"/>
      <c r="AW142" s="249"/>
      <c r="AX142" s="249"/>
      <c r="AY142" s="297">
        <f>SUM(AY111:BE111)</f>
        <v>0</v>
      </c>
      <c r="AZ142" s="311"/>
      <c r="BA142" s="249"/>
      <c r="BB142" s="249"/>
      <c r="BC142" s="249"/>
      <c r="BD142" s="249"/>
      <c r="BE142" s="249"/>
      <c r="BF142" s="297">
        <f>SUM(BF111:BL111)</f>
        <v>0</v>
      </c>
      <c r="BG142" s="311"/>
      <c r="BH142" s="249"/>
      <c r="BI142" s="249"/>
      <c r="BJ142" s="249"/>
      <c r="BK142" s="249"/>
      <c r="BL142" s="249"/>
      <c r="BM142" s="297">
        <f>SUM(BM111:BS111)</f>
        <v>0</v>
      </c>
      <c r="BN142" s="311"/>
      <c r="BO142" s="249"/>
      <c r="BP142" s="249"/>
      <c r="BQ142" s="249"/>
      <c r="BR142" s="249"/>
      <c r="BS142" s="249"/>
      <c r="BT142" s="297">
        <f>SUM(BT111:BZ111)</f>
        <v>0</v>
      </c>
      <c r="BU142" s="311"/>
      <c r="BV142" s="249"/>
      <c r="BW142" s="249"/>
      <c r="BX142" s="249"/>
      <c r="BY142" s="249"/>
      <c r="BZ142" s="249"/>
      <c r="CA142" s="297">
        <f>SUM(CA111:CG111)</f>
        <v>0</v>
      </c>
      <c r="CB142" s="311"/>
      <c r="CC142" s="249"/>
      <c r="CD142" s="249"/>
      <c r="CE142" s="249"/>
      <c r="CF142" s="249"/>
      <c r="CG142" s="249"/>
      <c r="CH142" s="297">
        <f>SUM(CH111:CN111)</f>
        <v>0</v>
      </c>
      <c r="CI142" s="311"/>
      <c r="CJ142" s="249"/>
      <c r="CK142" s="249"/>
      <c r="CL142" s="249"/>
      <c r="CM142" s="249"/>
      <c r="CN142" s="249"/>
      <c r="CO142" s="297">
        <f>SUM(CO111:CU111)</f>
        <v>0</v>
      </c>
      <c r="CP142" s="311"/>
      <c r="CQ142" s="249"/>
      <c r="CR142" s="249"/>
      <c r="CS142" s="249"/>
      <c r="CT142" s="249"/>
      <c r="CU142" s="249"/>
      <c r="CV142" s="297">
        <f>SUM(CV111:DB111)</f>
        <v>0</v>
      </c>
      <c r="CW142" s="311"/>
      <c r="CX142" s="249"/>
      <c r="CY142" s="249"/>
      <c r="CZ142" s="249"/>
      <c r="DA142" s="249"/>
      <c r="DB142" s="249"/>
      <c r="DC142" s="297">
        <f>SUM(DC111:DI111)</f>
        <v>0</v>
      </c>
      <c r="DD142" s="311"/>
      <c r="DE142" s="249"/>
      <c r="DF142" s="249"/>
      <c r="DG142" s="249"/>
      <c r="DH142" s="249"/>
      <c r="DI142" s="249"/>
      <c r="DJ142" s="297">
        <f>SUM(DJ111:DP111)</f>
        <v>0</v>
      </c>
      <c r="DK142" s="311"/>
      <c r="DL142" s="249"/>
      <c r="DM142" s="249"/>
      <c r="DN142" s="249"/>
      <c r="DO142" s="249"/>
      <c r="DP142" s="249"/>
      <c r="DQ142" s="297">
        <f>SUM(DQ111:DW111)</f>
        <v>0</v>
      </c>
      <c r="DR142" s="311"/>
      <c r="DS142" s="249"/>
      <c r="DT142" s="249"/>
      <c r="DU142" s="249"/>
      <c r="DV142" s="249"/>
      <c r="DW142" s="249"/>
      <c r="DX142" s="297">
        <f>SUM(DX111:ED111)</f>
        <v>0</v>
      </c>
      <c r="DY142" s="311"/>
      <c r="DZ142" s="249"/>
      <c r="EA142" s="249"/>
      <c r="EB142" s="249"/>
      <c r="EC142" s="249"/>
      <c r="ED142" s="249"/>
      <c r="EE142" s="297">
        <f>SUM(EE111:EK111)</f>
        <v>0</v>
      </c>
      <c r="EF142" s="311"/>
      <c r="EG142" s="249"/>
      <c r="EH142" s="249"/>
      <c r="EI142" s="249"/>
      <c r="EJ142" s="249"/>
      <c r="EK142" s="249"/>
      <c r="EL142" s="297">
        <f>SUM(EL111:ER111)</f>
        <v>0</v>
      </c>
      <c r="EM142" s="311"/>
      <c r="EN142" s="249"/>
      <c r="EO142" s="249"/>
      <c r="EP142" s="249"/>
      <c r="EQ142" s="249"/>
      <c r="ER142" s="249"/>
      <c r="ES142" s="297">
        <f>SUM(ES111:EY111)</f>
        <v>0</v>
      </c>
      <c r="ET142" s="311"/>
      <c r="EU142" s="249"/>
      <c r="EV142" s="249"/>
      <c r="EW142" s="249"/>
      <c r="EX142" s="249"/>
      <c r="EY142" s="249"/>
      <c r="EZ142" s="297">
        <f>SUM(EZ111:FF111)</f>
        <v>0</v>
      </c>
      <c r="FA142" s="311"/>
      <c r="FB142" s="249"/>
      <c r="FC142" s="249"/>
      <c r="FD142" s="249"/>
      <c r="FE142" s="249"/>
      <c r="FF142" s="249"/>
      <c r="FG142" s="297">
        <f>SUM(FG111:FM111)</f>
        <v>0</v>
      </c>
      <c r="FH142" s="311"/>
      <c r="FI142" s="249"/>
      <c r="FJ142" s="249"/>
      <c r="FK142" s="249"/>
      <c r="FL142" s="249"/>
      <c r="FM142" s="249"/>
      <c r="FN142" s="297">
        <f>SUM(FN111:FT111)</f>
        <v>0</v>
      </c>
      <c r="FO142" s="311"/>
      <c r="FP142" s="249"/>
      <c r="FQ142" s="249"/>
      <c r="FR142" s="249"/>
      <c r="FS142" s="249"/>
      <c r="FT142" s="249"/>
      <c r="FU142" s="297">
        <f>SUM(FU111:GA111)</f>
        <v>0</v>
      </c>
      <c r="FV142" s="311"/>
      <c r="FW142" s="249"/>
      <c r="FX142" s="249"/>
      <c r="FY142" s="249"/>
      <c r="FZ142" s="249"/>
      <c r="GA142" s="249"/>
    </row>
    <row r="143" spans="1:183" ht="12.75">
      <c r="A143" s="310" t="s">
        <v>3</v>
      </c>
      <c r="B143" s="297">
        <f>SUM(B89:H89)</f>
        <v>0</v>
      </c>
      <c r="C143" s="311"/>
      <c r="D143" s="249"/>
      <c r="E143" s="249"/>
      <c r="F143" s="249"/>
      <c r="G143" s="249"/>
      <c r="H143" s="249"/>
      <c r="I143" s="297">
        <f>SUM(I89:O89)</f>
        <v>0</v>
      </c>
      <c r="J143" s="311"/>
      <c r="K143" s="249"/>
      <c r="L143" s="249"/>
      <c r="M143" s="249"/>
      <c r="N143" s="249"/>
      <c r="O143" s="249"/>
      <c r="P143" s="297">
        <f>SUM(P89:V89)</f>
        <v>0</v>
      </c>
      <c r="Q143" s="311"/>
      <c r="R143" s="249"/>
      <c r="S143" s="249"/>
      <c r="T143" s="249"/>
      <c r="U143" s="249"/>
      <c r="V143" s="249"/>
      <c r="W143" s="297">
        <f>SUM(W89:AC89)</f>
        <v>0</v>
      </c>
      <c r="X143" s="311"/>
      <c r="Y143" s="249"/>
      <c r="Z143" s="249"/>
      <c r="AA143" s="249"/>
      <c r="AB143" s="249"/>
      <c r="AC143" s="249"/>
      <c r="AD143" s="297">
        <f>SUM(AD89:AJ89)</f>
        <v>0</v>
      </c>
      <c r="AE143" s="311"/>
      <c r="AF143" s="249"/>
      <c r="AG143" s="249"/>
      <c r="AH143" s="249"/>
      <c r="AI143" s="249"/>
      <c r="AJ143" s="249"/>
      <c r="AK143" s="297">
        <f>SUM(AK89:AQ89)</f>
        <v>0</v>
      </c>
      <c r="AL143" s="311"/>
      <c r="AM143" s="249"/>
      <c r="AN143" s="249"/>
      <c r="AO143" s="249"/>
      <c r="AP143" s="249"/>
      <c r="AQ143" s="249"/>
      <c r="AR143" s="297">
        <f>SUM(AR89:AX89)</f>
        <v>0</v>
      </c>
      <c r="AS143" s="311"/>
      <c r="AT143" s="249"/>
      <c r="AU143" s="249"/>
      <c r="AV143" s="249"/>
      <c r="AW143" s="249"/>
      <c r="AX143" s="249"/>
      <c r="AY143" s="297">
        <f>SUM(AY89:BE89)</f>
        <v>0</v>
      </c>
      <c r="AZ143" s="311"/>
      <c r="BA143" s="249"/>
      <c r="BB143" s="249"/>
      <c r="BC143" s="249"/>
      <c r="BD143" s="249"/>
      <c r="BE143" s="249"/>
      <c r="BF143" s="297">
        <f>SUM(BF89:BL89)</f>
        <v>0</v>
      </c>
      <c r="BG143" s="311"/>
      <c r="BH143" s="249"/>
      <c r="BI143" s="249"/>
      <c r="BJ143" s="249"/>
      <c r="BK143" s="249"/>
      <c r="BL143" s="249"/>
      <c r="BM143" s="297">
        <f>SUM(BM89:BS89)</f>
        <v>0</v>
      </c>
      <c r="BN143" s="311"/>
      <c r="BO143" s="249"/>
      <c r="BP143" s="249"/>
      <c r="BQ143" s="249"/>
      <c r="BR143" s="249"/>
      <c r="BS143" s="249"/>
      <c r="BT143" s="297">
        <f>SUM(BT89:BZ89)</f>
        <v>0</v>
      </c>
      <c r="BU143" s="311"/>
      <c r="BV143" s="249"/>
      <c r="BW143" s="249"/>
      <c r="BX143" s="249"/>
      <c r="BY143" s="249"/>
      <c r="BZ143" s="249"/>
      <c r="CA143" s="297">
        <f>SUM(CA89:CG89)</f>
        <v>0</v>
      </c>
      <c r="CB143" s="311"/>
      <c r="CC143" s="249"/>
      <c r="CD143" s="249"/>
      <c r="CE143" s="249"/>
      <c r="CF143" s="249"/>
      <c r="CG143" s="249"/>
      <c r="CH143" s="297">
        <f>SUM(CH89:CN89)</f>
        <v>0</v>
      </c>
      <c r="CI143" s="311"/>
      <c r="CJ143" s="249"/>
      <c r="CK143" s="249"/>
      <c r="CL143" s="249"/>
      <c r="CM143" s="249"/>
      <c r="CN143" s="249"/>
      <c r="CO143" s="297">
        <f>SUM(CO89:CU89)</f>
        <v>0</v>
      </c>
      <c r="CP143" s="311"/>
      <c r="CQ143" s="249"/>
      <c r="CR143" s="249"/>
      <c r="CS143" s="249"/>
      <c r="CT143" s="249"/>
      <c r="CU143" s="249"/>
      <c r="CV143" s="297">
        <f>SUM(CV89:DB89)</f>
        <v>0</v>
      </c>
      <c r="CW143" s="311"/>
      <c r="CX143" s="249"/>
      <c r="CY143" s="249"/>
      <c r="CZ143" s="249"/>
      <c r="DA143" s="249"/>
      <c r="DB143" s="249"/>
      <c r="DC143" s="297">
        <f>SUM(DC89:DI89)</f>
        <v>0</v>
      </c>
      <c r="DD143" s="311"/>
      <c r="DE143" s="249"/>
      <c r="DF143" s="249"/>
      <c r="DG143" s="249"/>
      <c r="DH143" s="249"/>
      <c r="DI143" s="249"/>
      <c r="DJ143" s="297">
        <f>SUM(DJ89:DP89)</f>
        <v>0</v>
      </c>
      <c r="DK143" s="311"/>
      <c r="DL143" s="249"/>
      <c r="DM143" s="249"/>
      <c r="DN143" s="249"/>
      <c r="DO143" s="249"/>
      <c r="DP143" s="249"/>
      <c r="DQ143" s="297">
        <f>SUM(DQ89:DW89)</f>
        <v>0</v>
      </c>
      <c r="DR143" s="311"/>
      <c r="DS143" s="249"/>
      <c r="DT143" s="249"/>
      <c r="DU143" s="249"/>
      <c r="DV143" s="249"/>
      <c r="DW143" s="249"/>
      <c r="DX143" s="297">
        <f>SUM(DX89:ED89)</f>
        <v>0</v>
      </c>
      <c r="DY143" s="311"/>
      <c r="DZ143" s="249"/>
      <c r="EA143" s="249"/>
      <c r="EB143" s="249"/>
      <c r="EC143" s="249"/>
      <c r="ED143" s="249"/>
      <c r="EE143" s="297">
        <f>SUM(EE89:EK89)</f>
        <v>0</v>
      </c>
      <c r="EF143" s="311"/>
      <c r="EG143" s="249"/>
      <c r="EH143" s="249"/>
      <c r="EI143" s="249"/>
      <c r="EJ143" s="249"/>
      <c r="EK143" s="249"/>
      <c r="EL143" s="297">
        <f>SUM(EL89:ER89)</f>
        <v>0</v>
      </c>
      <c r="EM143" s="311"/>
      <c r="EN143" s="249"/>
      <c r="EO143" s="249"/>
      <c r="EP143" s="249"/>
      <c r="EQ143" s="249"/>
      <c r="ER143" s="249"/>
      <c r="ES143" s="297">
        <f>SUM(ES89:EY89)</f>
        <v>0</v>
      </c>
      <c r="ET143" s="311"/>
      <c r="EU143" s="249"/>
      <c r="EV143" s="249"/>
      <c r="EW143" s="249"/>
      <c r="EX143" s="249"/>
      <c r="EY143" s="249"/>
      <c r="EZ143" s="297">
        <f>SUM(EZ89:FF89)</f>
        <v>0</v>
      </c>
      <c r="FA143" s="311"/>
      <c r="FB143" s="249"/>
      <c r="FC143" s="249"/>
      <c r="FD143" s="249"/>
      <c r="FE143" s="249"/>
      <c r="FF143" s="249"/>
      <c r="FG143" s="297">
        <f>SUM(FG89:FM89)</f>
        <v>0</v>
      </c>
      <c r="FH143" s="311"/>
      <c r="FI143" s="249"/>
      <c r="FJ143" s="249"/>
      <c r="FK143" s="249"/>
      <c r="FL143" s="249"/>
      <c r="FM143" s="249"/>
      <c r="FN143" s="297">
        <f>SUM(FN89:FT89)</f>
        <v>0</v>
      </c>
      <c r="FO143" s="311"/>
      <c r="FP143" s="249"/>
      <c r="FQ143" s="249"/>
      <c r="FR143" s="249"/>
      <c r="FS143" s="249"/>
      <c r="FT143" s="249"/>
      <c r="FU143" s="297">
        <f>SUM(FU89:GA89)</f>
        <v>0</v>
      </c>
      <c r="FV143" s="311"/>
      <c r="FW143" s="249"/>
      <c r="FX143" s="249"/>
      <c r="FY143" s="249"/>
      <c r="FZ143" s="249"/>
      <c r="GA143" s="249"/>
    </row>
    <row r="144" spans="1:183" ht="12.75">
      <c r="A144" s="310" t="s">
        <v>289</v>
      </c>
      <c r="B144" s="297">
        <f>SUM(B98:H98)</f>
        <v>0</v>
      </c>
      <c r="C144" s="311"/>
      <c r="D144" s="249"/>
      <c r="E144" s="249"/>
      <c r="F144" s="249"/>
      <c r="G144" s="249"/>
      <c r="H144" s="249"/>
      <c r="I144" s="297">
        <f>SUM(I98:O98)</f>
        <v>0</v>
      </c>
      <c r="J144" s="311"/>
      <c r="K144" s="249"/>
      <c r="L144" s="249"/>
      <c r="M144" s="249"/>
      <c r="N144" s="249"/>
      <c r="O144" s="249"/>
      <c r="P144" s="297">
        <f>SUM(P98:V98)</f>
        <v>0</v>
      </c>
      <c r="Q144" s="311"/>
      <c r="R144" s="249"/>
      <c r="S144" s="249"/>
      <c r="T144" s="249"/>
      <c r="U144" s="249"/>
      <c r="V144" s="249"/>
      <c r="W144" s="297">
        <f>SUM(W98:AC98)</f>
        <v>0</v>
      </c>
      <c r="X144" s="311"/>
      <c r="Y144" s="249"/>
      <c r="Z144" s="249"/>
      <c r="AA144" s="249"/>
      <c r="AB144" s="249"/>
      <c r="AC144" s="249"/>
      <c r="AD144" s="297">
        <f>SUM(AD98:AJ98)</f>
        <v>0</v>
      </c>
      <c r="AE144" s="311"/>
      <c r="AF144" s="249"/>
      <c r="AG144" s="249"/>
      <c r="AH144" s="249"/>
      <c r="AI144" s="249"/>
      <c r="AJ144" s="249"/>
      <c r="AK144" s="297">
        <f>SUM(AK98:AQ98)</f>
        <v>0</v>
      </c>
      <c r="AL144" s="311"/>
      <c r="AM144" s="249"/>
      <c r="AN144" s="249"/>
      <c r="AO144" s="249"/>
      <c r="AP144" s="249"/>
      <c r="AQ144" s="249"/>
      <c r="AR144" s="297">
        <f>SUM(AR98:AX98)</f>
        <v>0</v>
      </c>
      <c r="AS144" s="311"/>
      <c r="AT144" s="249"/>
      <c r="AU144" s="249"/>
      <c r="AV144" s="249"/>
      <c r="AW144" s="249"/>
      <c r="AX144" s="249"/>
      <c r="AY144" s="297">
        <f>SUM(AY98:BE98)</f>
        <v>0</v>
      </c>
      <c r="AZ144" s="311"/>
      <c r="BA144" s="249"/>
      <c r="BB144" s="249"/>
      <c r="BC144" s="249"/>
      <c r="BD144" s="249"/>
      <c r="BE144" s="249"/>
      <c r="BF144" s="297">
        <f>SUM(BF98:BL98)</f>
        <v>0</v>
      </c>
      <c r="BG144" s="311"/>
      <c r="BH144" s="249"/>
      <c r="BI144" s="249"/>
      <c r="BJ144" s="249"/>
      <c r="BK144" s="249"/>
      <c r="BL144" s="249"/>
      <c r="BM144" s="297">
        <f>SUM(BM98:BS98)</f>
        <v>0</v>
      </c>
      <c r="BN144" s="311"/>
      <c r="BO144" s="249"/>
      <c r="BP144" s="249"/>
      <c r="BQ144" s="249"/>
      <c r="BR144" s="249"/>
      <c r="BS144" s="249"/>
      <c r="BT144" s="297">
        <f>SUM(BT98:BZ98)</f>
        <v>0</v>
      </c>
      <c r="BU144" s="311"/>
      <c r="BV144" s="249"/>
      <c r="BW144" s="249"/>
      <c r="BX144" s="249"/>
      <c r="BY144" s="249"/>
      <c r="BZ144" s="249"/>
      <c r="CA144" s="297">
        <f>SUM(CA98:CG98)</f>
        <v>0</v>
      </c>
      <c r="CB144" s="311"/>
      <c r="CC144" s="249"/>
      <c r="CD144" s="249"/>
      <c r="CE144" s="249"/>
      <c r="CF144" s="249"/>
      <c r="CG144" s="249"/>
      <c r="CH144" s="297">
        <f>SUM(CH98:CN98)</f>
        <v>0</v>
      </c>
      <c r="CI144" s="311"/>
      <c r="CJ144" s="249"/>
      <c r="CK144" s="249"/>
      <c r="CL144" s="249"/>
      <c r="CM144" s="249"/>
      <c r="CN144" s="249"/>
      <c r="CO144" s="297">
        <f>SUM(CO98:CU98)</f>
        <v>0</v>
      </c>
      <c r="CP144" s="311"/>
      <c r="CQ144" s="249"/>
      <c r="CR144" s="249"/>
      <c r="CS144" s="249"/>
      <c r="CT144" s="249"/>
      <c r="CU144" s="249"/>
      <c r="CV144" s="297">
        <f>SUM(CV98:DB98)</f>
        <v>0</v>
      </c>
      <c r="CW144" s="311"/>
      <c r="CX144" s="249"/>
      <c r="CY144" s="249"/>
      <c r="CZ144" s="249"/>
      <c r="DA144" s="249"/>
      <c r="DB144" s="249"/>
      <c r="DC144" s="297">
        <f>SUM(DC98:DI98)</f>
        <v>0</v>
      </c>
      <c r="DD144" s="311"/>
      <c r="DE144" s="249"/>
      <c r="DF144" s="249"/>
      <c r="DG144" s="249"/>
      <c r="DH144" s="249"/>
      <c r="DI144" s="249"/>
      <c r="DJ144" s="297">
        <f>SUM(DJ98:DP98)</f>
        <v>0</v>
      </c>
      <c r="DK144" s="311"/>
      <c r="DL144" s="249"/>
      <c r="DM144" s="249"/>
      <c r="DN144" s="249"/>
      <c r="DO144" s="249"/>
      <c r="DP144" s="249"/>
      <c r="DQ144" s="297">
        <f>SUM(DQ98:DW98)</f>
        <v>0</v>
      </c>
      <c r="DR144" s="311"/>
      <c r="DS144" s="249"/>
      <c r="DT144" s="249"/>
      <c r="DU144" s="249"/>
      <c r="DV144" s="249"/>
      <c r="DW144" s="249"/>
      <c r="DX144" s="297">
        <f>SUM(DX98:ED98)</f>
        <v>0</v>
      </c>
      <c r="DY144" s="311"/>
      <c r="DZ144" s="249"/>
      <c r="EA144" s="249"/>
      <c r="EB144" s="249"/>
      <c r="EC144" s="249"/>
      <c r="ED144" s="249"/>
      <c r="EE144" s="297">
        <f>SUM(EE98:EK98)</f>
        <v>0</v>
      </c>
      <c r="EF144" s="311"/>
      <c r="EG144" s="249"/>
      <c r="EH144" s="249"/>
      <c r="EI144" s="249"/>
      <c r="EJ144" s="249"/>
      <c r="EK144" s="249"/>
      <c r="EL144" s="297">
        <f>SUM(EL98:ER98)</f>
        <v>0</v>
      </c>
      <c r="EM144" s="311"/>
      <c r="EN144" s="249"/>
      <c r="EO144" s="249"/>
      <c r="EP144" s="249"/>
      <c r="EQ144" s="249"/>
      <c r="ER144" s="249"/>
      <c r="ES144" s="297">
        <f>SUM(ES98:EY98)</f>
        <v>0</v>
      </c>
      <c r="ET144" s="311"/>
      <c r="EU144" s="249"/>
      <c r="EV144" s="249"/>
      <c r="EW144" s="249"/>
      <c r="EX144" s="249"/>
      <c r="EY144" s="249"/>
      <c r="EZ144" s="297">
        <f>SUM(EZ98:FF98)</f>
        <v>0</v>
      </c>
      <c r="FA144" s="311"/>
      <c r="FB144" s="249"/>
      <c r="FC144" s="249"/>
      <c r="FD144" s="249"/>
      <c r="FE144" s="249"/>
      <c r="FF144" s="249"/>
      <c r="FG144" s="297">
        <f>SUM(FG98:FM98)</f>
        <v>0</v>
      </c>
      <c r="FH144" s="311"/>
      <c r="FI144" s="249"/>
      <c r="FJ144" s="249"/>
      <c r="FK144" s="249"/>
      <c r="FL144" s="249"/>
      <c r="FM144" s="249"/>
      <c r="FN144" s="297">
        <f>SUM(FN98:FT98)</f>
        <v>0</v>
      </c>
      <c r="FO144" s="311"/>
      <c r="FP144" s="249"/>
      <c r="FQ144" s="249"/>
      <c r="FR144" s="249"/>
      <c r="FS144" s="249"/>
      <c r="FT144" s="249"/>
      <c r="FU144" s="297">
        <f>SUM(FU98:GA98)</f>
        <v>0</v>
      </c>
      <c r="FV144" s="311"/>
      <c r="FW144" s="249"/>
      <c r="FX144" s="249"/>
      <c r="FY144" s="249"/>
      <c r="FZ144" s="249"/>
      <c r="GA144" s="249"/>
    </row>
    <row r="145" spans="1:183" ht="12.75">
      <c r="A145" s="310" t="s">
        <v>290</v>
      </c>
      <c r="B145" s="297">
        <f>SUM(B107:H107)</f>
        <v>0</v>
      </c>
      <c r="C145" s="311"/>
      <c r="D145" s="249"/>
      <c r="E145" s="249"/>
      <c r="F145" s="249"/>
      <c r="G145" s="249"/>
      <c r="H145" s="249"/>
      <c r="I145" s="297">
        <f>SUM(I107:O107)</f>
        <v>0</v>
      </c>
      <c r="J145" s="311"/>
      <c r="K145" s="249"/>
      <c r="L145" s="249"/>
      <c r="M145" s="249"/>
      <c r="N145" s="249"/>
      <c r="O145" s="249"/>
      <c r="P145" s="297">
        <f>SUM(P107:V107)</f>
        <v>0</v>
      </c>
      <c r="Q145" s="311"/>
      <c r="R145" s="249"/>
      <c r="S145" s="249"/>
      <c r="T145" s="249"/>
      <c r="U145" s="249"/>
      <c r="V145" s="249"/>
      <c r="W145" s="297">
        <f>SUM(W107:AC107)</f>
        <v>0</v>
      </c>
      <c r="X145" s="311"/>
      <c r="Y145" s="249"/>
      <c r="Z145" s="249"/>
      <c r="AA145" s="249"/>
      <c r="AB145" s="249"/>
      <c r="AC145" s="249"/>
      <c r="AD145" s="297">
        <f>SUM(AD107:AJ107)</f>
        <v>0</v>
      </c>
      <c r="AE145" s="311"/>
      <c r="AF145" s="249"/>
      <c r="AG145" s="249"/>
      <c r="AH145" s="249"/>
      <c r="AI145" s="249"/>
      <c r="AJ145" s="249"/>
      <c r="AK145" s="297">
        <f>SUM(AK107:AQ107)</f>
        <v>0</v>
      </c>
      <c r="AL145" s="311"/>
      <c r="AM145" s="249"/>
      <c r="AN145" s="249"/>
      <c r="AO145" s="249"/>
      <c r="AP145" s="249"/>
      <c r="AQ145" s="249"/>
      <c r="AR145" s="297">
        <f>SUM(AR107:AX107)</f>
        <v>0</v>
      </c>
      <c r="AS145" s="311"/>
      <c r="AT145" s="249"/>
      <c r="AU145" s="249"/>
      <c r="AV145" s="249"/>
      <c r="AW145" s="249"/>
      <c r="AX145" s="249"/>
      <c r="AY145" s="297">
        <f>SUM(AY107:BE107)</f>
        <v>0</v>
      </c>
      <c r="AZ145" s="311"/>
      <c r="BA145" s="249"/>
      <c r="BB145" s="249"/>
      <c r="BC145" s="249"/>
      <c r="BD145" s="249"/>
      <c r="BE145" s="249"/>
      <c r="BF145" s="297">
        <f>SUM(BF107:BL107)</f>
        <v>0</v>
      </c>
      <c r="BG145" s="311"/>
      <c r="BH145" s="249"/>
      <c r="BI145" s="249"/>
      <c r="BJ145" s="249"/>
      <c r="BK145" s="249"/>
      <c r="BL145" s="249"/>
      <c r="BM145" s="297">
        <f>SUM(BM107:BS107)</f>
        <v>0</v>
      </c>
      <c r="BN145" s="311"/>
      <c r="BO145" s="249"/>
      <c r="BP145" s="249"/>
      <c r="BQ145" s="249"/>
      <c r="BR145" s="249"/>
      <c r="BS145" s="249"/>
      <c r="BT145" s="297">
        <f>SUM(BT107:BZ107)</f>
        <v>0</v>
      </c>
      <c r="BU145" s="311"/>
      <c r="BV145" s="249"/>
      <c r="BW145" s="249"/>
      <c r="BX145" s="249"/>
      <c r="BY145" s="249"/>
      <c r="BZ145" s="249"/>
      <c r="CA145" s="297">
        <f>SUM(CA107:CG107)</f>
        <v>0</v>
      </c>
      <c r="CB145" s="311"/>
      <c r="CC145" s="249"/>
      <c r="CD145" s="249"/>
      <c r="CE145" s="249"/>
      <c r="CF145" s="249"/>
      <c r="CG145" s="249"/>
      <c r="CH145" s="297">
        <f>SUM(CH107:CN107)</f>
        <v>0</v>
      </c>
      <c r="CI145" s="311"/>
      <c r="CJ145" s="249"/>
      <c r="CK145" s="249"/>
      <c r="CL145" s="249"/>
      <c r="CM145" s="249"/>
      <c r="CN145" s="249"/>
      <c r="CO145" s="297">
        <f>SUM(CO107:CU107)</f>
        <v>0</v>
      </c>
      <c r="CP145" s="311"/>
      <c r="CQ145" s="249"/>
      <c r="CR145" s="249"/>
      <c r="CS145" s="249"/>
      <c r="CT145" s="249"/>
      <c r="CU145" s="249"/>
      <c r="CV145" s="297">
        <f>SUM(CV107:DB107)</f>
        <v>0</v>
      </c>
      <c r="CW145" s="311"/>
      <c r="CX145" s="249"/>
      <c r="CY145" s="249"/>
      <c r="CZ145" s="249"/>
      <c r="DA145" s="249"/>
      <c r="DB145" s="249"/>
      <c r="DC145" s="297">
        <f>SUM(DC107:DI107)</f>
        <v>0</v>
      </c>
      <c r="DD145" s="311"/>
      <c r="DE145" s="249"/>
      <c r="DF145" s="249"/>
      <c r="DG145" s="249"/>
      <c r="DH145" s="249"/>
      <c r="DI145" s="249"/>
      <c r="DJ145" s="297">
        <f>SUM(DJ107:DP107)</f>
        <v>0</v>
      </c>
      <c r="DK145" s="311"/>
      <c r="DL145" s="249"/>
      <c r="DM145" s="249"/>
      <c r="DN145" s="249"/>
      <c r="DO145" s="249"/>
      <c r="DP145" s="249"/>
      <c r="DQ145" s="297">
        <f>SUM(DQ107:DW107)</f>
        <v>0</v>
      </c>
      <c r="DR145" s="311"/>
      <c r="DS145" s="249"/>
      <c r="DT145" s="249"/>
      <c r="DU145" s="249"/>
      <c r="DV145" s="249"/>
      <c r="DW145" s="249"/>
      <c r="DX145" s="297">
        <f>SUM(DX107:ED107)</f>
        <v>0</v>
      </c>
      <c r="DY145" s="311"/>
      <c r="DZ145" s="249"/>
      <c r="EA145" s="249"/>
      <c r="EB145" s="249"/>
      <c r="EC145" s="249"/>
      <c r="ED145" s="249"/>
      <c r="EE145" s="297">
        <f>SUM(EE107:EK107)</f>
        <v>0</v>
      </c>
      <c r="EF145" s="311"/>
      <c r="EG145" s="249"/>
      <c r="EH145" s="249"/>
      <c r="EI145" s="249"/>
      <c r="EJ145" s="249"/>
      <c r="EK145" s="249"/>
      <c r="EL145" s="297">
        <f>SUM(EL107:ER107)</f>
        <v>0</v>
      </c>
      <c r="EM145" s="311"/>
      <c r="EN145" s="249"/>
      <c r="EO145" s="249"/>
      <c r="EP145" s="249"/>
      <c r="EQ145" s="249"/>
      <c r="ER145" s="249"/>
      <c r="ES145" s="297">
        <f>SUM(ES107:EY107)</f>
        <v>0</v>
      </c>
      <c r="ET145" s="311"/>
      <c r="EU145" s="249"/>
      <c r="EV145" s="249"/>
      <c r="EW145" s="249"/>
      <c r="EX145" s="249"/>
      <c r="EY145" s="249"/>
      <c r="EZ145" s="297">
        <f>SUM(EZ107:FF107)</f>
        <v>0</v>
      </c>
      <c r="FA145" s="311"/>
      <c r="FB145" s="249"/>
      <c r="FC145" s="249"/>
      <c r="FD145" s="249"/>
      <c r="FE145" s="249"/>
      <c r="FF145" s="249"/>
      <c r="FG145" s="297">
        <f>SUM(FG107:FM107)</f>
        <v>0</v>
      </c>
      <c r="FH145" s="311"/>
      <c r="FI145" s="249"/>
      <c r="FJ145" s="249"/>
      <c r="FK145" s="249"/>
      <c r="FL145" s="249"/>
      <c r="FM145" s="249"/>
      <c r="FN145" s="297">
        <f>SUM(FN107:FT107)</f>
        <v>0</v>
      </c>
      <c r="FO145" s="311"/>
      <c r="FP145" s="249"/>
      <c r="FQ145" s="249"/>
      <c r="FR145" s="249"/>
      <c r="FS145" s="249"/>
      <c r="FT145" s="249"/>
      <c r="FU145" s="297">
        <f>SUM(FU107:GA107)</f>
        <v>0</v>
      </c>
      <c r="FV145" s="311"/>
      <c r="FW145" s="249"/>
      <c r="FX145" s="249"/>
      <c r="FY145" s="249"/>
      <c r="FZ145" s="249"/>
      <c r="GA145" s="249"/>
    </row>
    <row r="146" spans="1:183" ht="12.75">
      <c r="A146" s="313" t="s">
        <v>291</v>
      </c>
      <c r="B146" s="314">
        <f>SUM(B139:B145)</f>
        <v>0</v>
      </c>
      <c r="C146" s="315"/>
      <c r="D146" s="249"/>
      <c r="E146" s="249"/>
      <c r="F146" s="249"/>
      <c r="G146" s="249"/>
      <c r="H146" s="249"/>
      <c r="I146" s="314">
        <f>SUM(I139:I145)</f>
        <v>0</v>
      </c>
      <c r="J146" s="315"/>
      <c r="K146" s="249"/>
      <c r="L146" s="249"/>
      <c r="M146" s="249"/>
      <c r="N146" s="249"/>
      <c r="O146" s="249"/>
      <c r="P146" s="314">
        <f>SUM(P139:P145)</f>
        <v>0</v>
      </c>
      <c r="Q146" s="315"/>
      <c r="R146" s="249"/>
      <c r="S146" s="249"/>
      <c r="T146" s="249"/>
      <c r="U146" s="249"/>
      <c r="V146" s="249"/>
      <c r="W146" s="314">
        <f>SUM(W139:W145)</f>
        <v>0</v>
      </c>
      <c r="X146" s="315"/>
      <c r="Y146" s="249"/>
      <c r="Z146" s="249"/>
      <c r="AA146" s="249"/>
      <c r="AB146" s="249"/>
      <c r="AC146" s="249"/>
      <c r="AD146" s="314">
        <f>SUM(AD139:AD145)</f>
        <v>0</v>
      </c>
      <c r="AE146" s="315"/>
      <c r="AF146" s="249"/>
      <c r="AG146" s="249"/>
      <c r="AH146" s="249"/>
      <c r="AI146" s="249"/>
      <c r="AJ146" s="249"/>
      <c r="AK146" s="314">
        <f>SUM(AK139:AK145)</f>
        <v>0</v>
      </c>
      <c r="AL146" s="315"/>
      <c r="AM146" s="249"/>
      <c r="AN146" s="249"/>
      <c r="AO146" s="249"/>
      <c r="AP146" s="249"/>
      <c r="AQ146" s="249"/>
      <c r="AR146" s="314">
        <f>SUM(AR139:AR145)</f>
        <v>0</v>
      </c>
      <c r="AS146" s="315"/>
      <c r="AT146" s="249"/>
      <c r="AU146" s="249"/>
      <c r="AV146" s="249"/>
      <c r="AW146" s="249"/>
      <c r="AX146" s="249"/>
      <c r="AY146" s="314">
        <f>SUM(AY139:AY145)</f>
        <v>0</v>
      </c>
      <c r="AZ146" s="315"/>
      <c r="BA146" s="249"/>
      <c r="BB146" s="249"/>
      <c r="BC146" s="249"/>
      <c r="BD146" s="249"/>
      <c r="BE146" s="249"/>
      <c r="BF146" s="314">
        <f>SUM(BF139:BF145)</f>
        <v>0</v>
      </c>
      <c r="BG146" s="315"/>
      <c r="BH146" s="249"/>
      <c r="BI146" s="249"/>
      <c r="BJ146" s="249"/>
      <c r="BK146" s="249"/>
      <c r="BL146" s="249"/>
      <c r="BM146" s="314">
        <f>SUM(BM139:BM145)</f>
        <v>0</v>
      </c>
      <c r="BN146" s="315"/>
      <c r="BO146" s="249"/>
      <c r="BP146" s="249"/>
      <c r="BQ146" s="249"/>
      <c r="BR146" s="249"/>
      <c r="BS146" s="249"/>
      <c r="BT146" s="314">
        <f>SUM(BT139:BT145)</f>
        <v>0</v>
      </c>
      <c r="BU146" s="315"/>
      <c r="BV146" s="249"/>
      <c r="BW146" s="249"/>
      <c r="BX146" s="249"/>
      <c r="BY146" s="249"/>
      <c r="BZ146" s="249"/>
      <c r="CA146" s="314">
        <f>SUM(CA139:CA145)</f>
        <v>0</v>
      </c>
      <c r="CB146" s="315"/>
      <c r="CC146" s="249"/>
      <c r="CD146" s="249"/>
      <c r="CE146" s="249"/>
      <c r="CF146" s="249"/>
      <c r="CG146" s="249"/>
      <c r="CH146" s="314">
        <f>SUM(CH139:CH145)</f>
        <v>0</v>
      </c>
      <c r="CI146" s="315"/>
      <c r="CJ146" s="249"/>
      <c r="CK146" s="249"/>
      <c r="CL146" s="249"/>
      <c r="CM146" s="249"/>
      <c r="CN146" s="249"/>
      <c r="CO146" s="314">
        <f>SUM(CO139:CO145)</f>
        <v>0</v>
      </c>
      <c r="CP146" s="315"/>
      <c r="CQ146" s="249"/>
      <c r="CR146" s="249"/>
      <c r="CS146" s="249"/>
      <c r="CT146" s="249"/>
      <c r="CU146" s="249"/>
      <c r="CV146" s="314">
        <f>SUM(CV139:CV145)</f>
        <v>0</v>
      </c>
      <c r="CW146" s="315"/>
      <c r="CX146" s="249"/>
      <c r="CY146" s="249"/>
      <c r="CZ146" s="249"/>
      <c r="DA146" s="249"/>
      <c r="DB146" s="249"/>
      <c r="DC146" s="314">
        <f>SUM(DC139:DC145)</f>
        <v>0</v>
      </c>
      <c r="DD146" s="315"/>
      <c r="DE146" s="249"/>
      <c r="DF146" s="249"/>
      <c r="DG146" s="249"/>
      <c r="DH146" s="249"/>
      <c r="DI146" s="249"/>
      <c r="DJ146" s="314">
        <f>SUM(DJ139:DJ145)</f>
        <v>0</v>
      </c>
      <c r="DK146" s="315"/>
      <c r="DL146" s="249"/>
      <c r="DM146" s="249"/>
      <c r="DN146" s="249"/>
      <c r="DO146" s="249"/>
      <c r="DP146" s="249"/>
      <c r="DQ146" s="314">
        <f>SUM(DQ139:DQ145)</f>
        <v>0</v>
      </c>
      <c r="DR146" s="315"/>
      <c r="DS146" s="249"/>
      <c r="DT146" s="249"/>
      <c r="DU146" s="249"/>
      <c r="DV146" s="249"/>
      <c r="DW146" s="249"/>
      <c r="DX146" s="314">
        <f>SUM(DX139:DX145)</f>
        <v>0</v>
      </c>
      <c r="DY146" s="315"/>
      <c r="DZ146" s="249"/>
      <c r="EA146" s="249"/>
      <c r="EB146" s="249"/>
      <c r="EC146" s="249"/>
      <c r="ED146" s="249"/>
      <c r="EE146" s="314">
        <f>SUM(EE139:EE145)</f>
        <v>0</v>
      </c>
      <c r="EF146" s="315"/>
      <c r="EG146" s="249"/>
      <c r="EH146" s="249"/>
      <c r="EI146" s="249"/>
      <c r="EJ146" s="249"/>
      <c r="EK146" s="249"/>
      <c r="EL146" s="314">
        <f>SUM(EL139:EL145)</f>
        <v>0</v>
      </c>
      <c r="EM146" s="315"/>
      <c r="EN146" s="249"/>
      <c r="EO146" s="249"/>
      <c r="EP146" s="249"/>
      <c r="EQ146" s="249"/>
      <c r="ER146" s="249"/>
      <c r="ES146" s="314">
        <f>SUM(ES139:ES145)</f>
        <v>0</v>
      </c>
      <c r="ET146" s="315"/>
      <c r="EU146" s="249"/>
      <c r="EV146" s="249"/>
      <c r="EW146" s="249"/>
      <c r="EX146" s="249"/>
      <c r="EY146" s="249"/>
      <c r="EZ146" s="314">
        <f>SUM(EZ139:EZ145)</f>
        <v>0</v>
      </c>
      <c r="FA146" s="315"/>
      <c r="FB146" s="249"/>
      <c r="FC146" s="249"/>
      <c r="FD146" s="249"/>
      <c r="FE146" s="249"/>
      <c r="FF146" s="249"/>
      <c r="FG146" s="314">
        <f>SUM(FG139:FG145)</f>
        <v>0</v>
      </c>
      <c r="FH146" s="315"/>
      <c r="FI146" s="249"/>
      <c r="FJ146" s="249"/>
      <c r="FK146" s="249"/>
      <c r="FL146" s="249"/>
      <c r="FM146" s="249"/>
      <c r="FN146" s="314">
        <f>SUM(FN139:FN145)</f>
        <v>0</v>
      </c>
      <c r="FO146" s="315"/>
      <c r="FP146" s="249"/>
      <c r="FQ146" s="249"/>
      <c r="FR146" s="249"/>
      <c r="FS146" s="249"/>
      <c r="FT146" s="249"/>
      <c r="FU146" s="314">
        <f>SUM(FU139:FU145)</f>
        <v>0</v>
      </c>
      <c r="FV146" s="315"/>
      <c r="FW146" s="249"/>
      <c r="FX146" s="249"/>
      <c r="FY146" s="249"/>
      <c r="FZ146" s="249"/>
      <c r="GA146" s="249"/>
    </row>
    <row r="147" spans="1:183" ht="12.75">
      <c r="A147" s="316" t="s">
        <v>292</v>
      </c>
      <c r="B147" s="249">
        <f>SUM(B80:H80)</f>
        <v>0</v>
      </c>
      <c r="C147" s="249"/>
      <c r="D147" s="249"/>
      <c r="E147" s="249"/>
      <c r="F147" s="249"/>
      <c r="G147" s="249"/>
      <c r="H147" s="249"/>
      <c r="I147" s="249">
        <f>SUM(I80:O80)</f>
        <v>0</v>
      </c>
      <c r="J147" s="249"/>
      <c r="K147" s="249"/>
      <c r="L147" s="249"/>
      <c r="M147" s="249"/>
      <c r="N147" s="249"/>
      <c r="O147" s="249"/>
      <c r="P147" s="249">
        <f>SUM(P80:V80)</f>
        <v>0</v>
      </c>
      <c r="Q147" s="249"/>
      <c r="R147" s="249"/>
      <c r="S147" s="249"/>
      <c r="T147" s="249"/>
      <c r="U147" s="249"/>
      <c r="V147" s="249"/>
      <c r="W147" s="249">
        <f>SUM(W80:AC80)</f>
        <v>0</v>
      </c>
      <c r="X147" s="249"/>
      <c r="Y147" s="249"/>
      <c r="Z147" s="249"/>
      <c r="AA147" s="249"/>
      <c r="AB147" s="249"/>
      <c r="AC147" s="249"/>
      <c r="AD147" s="249">
        <f>SUM(AD80:AJ80)</f>
        <v>0</v>
      </c>
      <c r="AE147" s="249"/>
      <c r="AF147" s="249"/>
      <c r="AG147" s="249"/>
      <c r="AH147" s="249"/>
      <c r="AI147" s="249"/>
      <c r="AJ147" s="249"/>
      <c r="AK147" s="249">
        <f>SUM(AK80:AQ80)</f>
        <v>0</v>
      </c>
      <c r="AL147" s="249"/>
      <c r="AM147" s="249"/>
      <c r="AN147" s="249"/>
      <c r="AO147" s="249"/>
      <c r="AP147" s="249"/>
      <c r="AQ147" s="249"/>
      <c r="AR147" s="249">
        <f>SUM(AR80:AX80)</f>
        <v>0</v>
      </c>
      <c r="AS147" s="249"/>
      <c r="AT147" s="249"/>
      <c r="AU147" s="249"/>
      <c r="AV147" s="249"/>
      <c r="AW147" s="249"/>
      <c r="AX147" s="249"/>
      <c r="AY147" s="249">
        <f>SUM(AY80:BE80)</f>
        <v>0</v>
      </c>
      <c r="AZ147" s="249"/>
      <c r="BA147" s="249"/>
      <c r="BB147" s="249"/>
      <c r="BC147" s="249"/>
      <c r="BD147" s="249"/>
      <c r="BE147" s="249"/>
      <c r="BF147" s="249">
        <f>SUM(BF80:BL80)</f>
        <v>0</v>
      </c>
      <c r="BG147" s="249"/>
      <c r="BH147" s="249"/>
      <c r="BI147" s="249"/>
      <c r="BJ147" s="249"/>
      <c r="BK147" s="249"/>
      <c r="BL147" s="249"/>
      <c r="BM147" s="249">
        <f>SUM(BM80:BS80)</f>
        <v>0</v>
      </c>
      <c r="BN147" s="249"/>
      <c r="BO147" s="249"/>
      <c r="BP147" s="249"/>
      <c r="BQ147" s="249"/>
      <c r="BR147" s="249"/>
      <c r="BS147" s="249"/>
      <c r="BT147" s="249">
        <f>SUM(BT80:BZ80)</f>
        <v>0</v>
      </c>
      <c r="BU147" s="249"/>
      <c r="BV147" s="249"/>
      <c r="BW147" s="249"/>
      <c r="BX147" s="249"/>
      <c r="BY147" s="249"/>
      <c r="BZ147" s="249"/>
      <c r="CA147" s="249">
        <f>SUM(CA80:CG80)</f>
        <v>0</v>
      </c>
      <c r="CB147" s="249"/>
      <c r="CC147" s="249"/>
      <c r="CD147" s="249"/>
      <c r="CE147" s="249"/>
      <c r="CF147" s="249"/>
      <c r="CG147" s="249"/>
      <c r="CH147" s="249">
        <f>SUM(CH80:CN80)</f>
        <v>0</v>
      </c>
      <c r="CI147" s="249"/>
      <c r="CJ147" s="249"/>
      <c r="CK147" s="249"/>
      <c r="CL147" s="249"/>
      <c r="CM147" s="249"/>
      <c r="CN147" s="249"/>
      <c r="CO147" s="249">
        <f>SUM(CO80:CU80)</f>
        <v>0</v>
      </c>
      <c r="CP147" s="249"/>
      <c r="CQ147" s="249"/>
      <c r="CR147" s="249"/>
      <c r="CS147" s="249"/>
      <c r="CT147" s="249"/>
      <c r="CU147" s="249"/>
      <c r="CV147" s="249">
        <f>SUM(CV80:DB80)</f>
        <v>0</v>
      </c>
      <c r="CW147" s="249"/>
      <c r="CX147" s="249"/>
      <c r="CY147" s="249"/>
      <c r="CZ147" s="249"/>
      <c r="DA147" s="249"/>
      <c r="DB147" s="249"/>
      <c r="DC147" s="249">
        <f>SUM(DC80:DI80)</f>
        <v>0</v>
      </c>
      <c r="DD147" s="249"/>
      <c r="DE147" s="249"/>
      <c r="DF147" s="249"/>
      <c r="DG147" s="249"/>
      <c r="DH147" s="249"/>
      <c r="DI147" s="249"/>
      <c r="DJ147" s="249">
        <f>SUM(DJ80:DP80)</f>
        <v>0</v>
      </c>
      <c r="DK147" s="249"/>
      <c r="DL147" s="249"/>
      <c r="DM147" s="249"/>
      <c r="DN147" s="249"/>
      <c r="DO147" s="249"/>
      <c r="DP147" s="249"/>
      <c r="DQ147" s="249">
        <f>SUM(DQ80:DW80)</f>
        <v>0</v>
      </c>
      <c r="DR147" s="249"/>
      <c r="DS147" s="249"/>
      <c r="DT147" s="249"/>
      <c r="DU147" s="249"/>
      <c r="DV147" s="249"/>
      <c r="DW147" s="249"/>
      <c r="DX147" s="249">
        <f>SUM(DX80:ED80)</f>
        <v>0</v>
      </c>
      <c r="DY147" s="249"/>
      <c r="DZ147" s="249"/>
      <c r="EA147" s="249"/>
      <c r="EB147" s="249"/>
      <c r="EC147" s="249"/>
      <c r="ED147" s="249"/>
      <c r="EE147" s="249">
        <f>SUM(EE80:EK80)</f>
        <v>0</v>
      </c>
      <c r="EF147" s="249"/>
      <c r="EG147" s="249"/>
      <c r="EH147" s="249"/>
      <c r="EI147" s="249"/>
      <c r="EJ147" s="249"/>
      <c r="EK147" s="249"/>
      <c r="EL147" s="249">
        <f>SUM(EL80:ER80)</f>
        <v>0</v>
      </c>
      <c r="EM147" s="249"/>
      <c r="EN147" s="249"/>
      <c r="EO147" s="249"/>
      <c r="EP147" s="249"/>
      <c r="EQ147" s="249"/>
      <c r="ER147" s="249"/>
      <c r="ES147" s="249">
        <f>SUM(ES80:EY80)</f>
        <v>0</v>
      </c>
      <c r="ET147" s="249"/>
      <c r="EU147" s="249"/>
      <c r="EV147" s="249"/>
      <c r="EW147" s="249"/>
      <c r="EX147" s="249"/>
      <c r="EY147" s="249"/>
      <c r="EZ147" s="249">
        <f>SUM(EZ80:FF80)</f>
        <v>0</v>
      </c>
      <c r="FA147" s="249"/>
      <c r="FB147" s="249"/>
      <c r="FC147" s="249"/>
      <c r="FD147" s="249"/>
      <c r="FE147" s="249"/>
      <c r="FF147" s="249"/>
      <c r="FG147" s="249">
        <f>SUM(FG80:FM80)</f>
        <v>0</v>
      </c>
      <c r="FH147" s="249"/>
      <c r="FI147" s="249"/>
      <c r="FJ147" s="249"/>
      <c r="FK147" s="249"/>
      <c r="FL147" s="249"/>
      <c r="FM147" s="249"/>
      <c r="FN147" s="249">
        <f>SUM(FN80:FT80)</f>
        <v>0</v>
      </c>
      <c r="FO147" s="249"/>
      <c r="FP147" s="249"/>
      <c r="FQ147" s="249"/>
      <c r="FR147" s="249"/>
      <c r="FS147" s="249"/>
      <c r="FT147" s="249"/>
      <c r="FU147" s="249">
        <f>SUM(FU80:GA80)</f>
        <v>0</v>
      </c>
      <c r="FV147" s="249"/>
      <c r="FW147" s="249"/>
      <c r="FX147" s="249"/>
      <c r="FY147" s="249"/>
      <c r="FZ147" s="249"/>
      <c r="GA147" s="249"/>
    </row>
  </sheetData>
  <sheetProtection/>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Roman,Standard"&amp;12&amp;A</oddHeader>
    <oddFooter>&amp;C&amp;"Times New Roman,Standard"&amp;12Seite &amp;P</oddFooter>
  </headerFooter>
  <drawing r:id="rId1"/>
</worksheet>
</file>

<file path=xl/worksheets/sheet12.xml><?xml version="1.0" encoding="utf-8"?>
<worksheet xmlns="http://schemas.openxmlformats.org/spreadsheetml/2006/main" xmlns:r="http://schemas.openxmlformats.org/officeDocument/2006/relationships">
  <dimension ref="A1:BD34"/>
  <sheetViews>
    <sheetView zoomScalePageLayoutView="0" workbookViewId="0" topLeftCell="A1">
      <pane xSplit="1" topLeftCell="BC1" activePane="topRight" state="frozen"/>
      <selection pane="topLeft" activeCell="DD1" sqref="DD1"/>
      <selection pane="topRight" activeCell="AX12" sqref="AX12"/>
    </sheetView>
  </sheetViews>
  <sheetFormatPr defaultColWidth="11.7109375" defaultRowHeight="12.75"/>
  <cols>
    <col min="1" max="1" width="20.28125" style="251" customWidth="1"/>
    <col min="2" max="54" width="11.7109375" style="251" customWidth="1"/>
    <col min="55" max="55" width="15.57421875" style="251" customWidth="1"/>
    <col min="56" max="16384" width="11.7109375" style="251" customWidth="1"/>
  </cols>
  <sheetData>
    <row r="1" spans="1:56" ht="12.75">
      <c r="A1" s="318" t="s">
        <v>293</v>
      </c>
      <c r="B1" s="319">
        <v>1</v>
      </c>
      <c r="C1" s="319">
        <f aca="true" t="shared" si="0" ref="C1:AH1">B1+1</f>
        <v>2</v>
      </c>
      <c r="D1" s="319">
        <f t="shared" si="0"/>
        <v>3</v>
      </c>
      <c r="E1" s="319">
        <f t="shared" si="0"/>
        <v>4</v>
      </c>
      <c r="F1" s="319">
        <f t="shared" si="0"/>
        <v>5</v>
      </c>
      <c r="G1" s="319">
        <f t="shared" si="0"/>
        <v>6</v>
      </c>
      <c r="H1" s="319">
        <f t="shared" si="0"/>
        <v>7</v>
      </c>
      <c r="I1" s="319">
        <f t="shared" si="0"/>
        <v>8</v>
      </c>
      <c r="J1" s="319">
        <f t="shared" si="0"/>
        <v>9</v>
      </c>
      <c r="K1" s="319">
        <f t="shared" si="0"/>
        <v>10</v>
      </c>
      <c r="L1" s="319">
        <f t="shared" si="0"/>
        <v>11</v>
      </c>
      <c r="M1" s="319">
        <f t="shared" si="0"/>
        <v>12</v>
      </c>
      <c r="N1" s="319">
        <f t="shared" si="0"/>
        <v>13</v>
      </c>
      <c r="O1" s="319">
        <f t="shared" si="0"/>
        <v>14</v>
      </c>
      <c r="P1" s="319">
        <f t="shared" si="0"/>
        <v>15</v>
      </c>
      <c r="Q1" s="319">
        <f t="shared" si="0"/>
        <v>16</v>
      </c>
      <c r="R1" s="319">
        <f t="shared" si="0"/>
        <v>17</v>
      </c>
      <c r="S1" s="319">
        <f t="shared" si="0"/>
        <v>18</v>
      </c>
      <c r="T1" s="319">
        <f t="shared" si="0"/>
        <v>19</v>
      </c>
      <c r="U1" s="319">
        <f t="shared" si="0"/>
        <v>20</v>
      </c>
      <c r="V1" s="319">
        <f t="shared" si="0"/>
        <v>21</v>
      </c>
      <c r="W1" s="319">
        <f t="shared" si="0"/>
        <v>22</v>
      </c>
      <c r="X1" s="319">
        <f t="shared" si="0"/>
        <v>23</v>
      </c>
      <c r="Y1" s="319">
        <f t="shared" si="0"/>
        <v>24</v>
      </c>
      <c r="Z1" s="319">
        <f t="shared" si="0"/>
        <v>25</v>
      </c>
      <c r="AA1" s="319">
        <f t="shared" si="0"/>
        <v>26</v>
      </c>
      <c r="AB1" s="319">
        <f t="shared" si="0"/>
        <v>27</v>
      </c>
      <c r="AC1" s="319">
        <f t="shared" si="0"/>
        <v>28</v>
      </c>
      <c r="AD1" s="319">
        <f t="shared" si="0"/>
        <v>29</v>
      </c>
      <c r="AE1" s="319">
        <f t="shared" si="0"/>
        <v>30</v>
      </c>
      <c r="AF1" s="319">
        <f t="shared" si="0"/>
        <v>31</v>
      </c>
      <c r="AG1" s="319">
        <f t="shared" si="0"/>
        <v>32</v>
      </c>
      <c r="AH1" s="319">
        <f t="shared" si="0"/>
        <v>33</v>
      </c>
      <c r="AI1" s="319">
        <f aca="true" t="shared" si="1" ref="AI1:BB1">AH1+1</f>
        <v>34</v>
      </c>
      <c r="AJ1" s="319">
        <f t="shared" si="1"/>
        <v>35</v>
      </c>
      <c r="AK1" s="319">
        <f t="shared" si="1"/>
        <v>36</v>
      </c>
      <c r="AL1" s="319">
        <f t="shared" si="1"/>
        <v>37</v>
      </c>
      <c r="AM1" s="319">
        <f t="shared" si="1"/>
        <v>38</v>
      </c>
      <c r="AN1" s="319">
        <f t="shared" si="1"/>
        <v>39</v>
      </c>
      <c r="AO1" s="319">
        <f t="shared" si="1"/>
        <v>40</v>
      </c>
      <c r="AP1" s="319">
        <f t="shared" si="1"/>
        <v>41</v>
      </c>
      <c r="AQ1" s="319">
        <f t="shared" si="1"/>
        <v>42</v>
      </c>
      <c r="AR1" s="319">
        <f t="shared" si="1"/>
        <v>43</v>
      </c>
      <c r="AS1" s="319">
        <f t="shared" si="1"/>
        <v>44</v>
      </c>
      <c r="AT1" s="319">
        <f t="shared" si="1"/>
        <v>45</v>
      </c>
      <c r="AU1" s="319">
        <f t="shared" si="1"/>
        <v>46</v>
      </c>
      <c r="AV1" s="319">
        <f t="shared" si="1"/>
        <v>47</v>
      </c>
      <c r="AW1" s="319">
        <f t="shared" si="1"/>
        <v>48</v>
      </c>
      <c r="AX1" s="319">
        <f t="shared" si="1"/>
        <v>49</v>
      </c>
      <c r="AY1" s="319">
        <f t="shared" si="1"/>
        <v>50</v>
      </c>
      <c r="AZ1" s="319">
        <f t="shared" si="1"/>
        <v>51</v>
      </c>
      <c r="BA1" s="319">
        <f t="shared" si="1"/>
        <v>52</v>
      </c>
      <c r="BB1" s="319">
        <f t="shared" si="1"/>
        <v>53</v>
      </c>
      <c r="BC1" s="320" t="s">
        <v>294</v>
      </c>
      <c r="BD1" s="320" t="s">
        <v>295</v>
      </c>
    </row>
    <row r="2" spans="1:56" ht="12.75">
      <c r="A2" s="321" t="s">
        <v>277</v>
      </c>
      <c r="B2" s="322">
        <f>Kader!B45</f>
        <v>2.3</v>
      </c>
      <c r="C2" s="322">
        <f>Kader!I45</f>
        <v>0</v>
      </c>
      <c r="D2" s="322">
        <f>Kader!P45</f>
        <v>0</v>
      </c>
      <c r="E2" s="322">
        <f>Kader!W45</f>
        <v>0</v>
      </c>
      <c r="F2" s="322">
        <f>Kader!AD45</f>
        <v>0</v>
      </c>
      <c r="G2" s="322">
        <f>Kader!AK45</f>
        <v>0</v>
      </c>
      <c r="H2" s="322">
        <f>Kader!AR45</f>
        <v>0</v>
      </c>
      <c r="I2" s="322">
        <f>Kader!AY45</f>
        <v>0</v>
      </c>
      <c r="J2" s="322">
        <f>Kader!BF45</f>
        <v>0</v>
      </c>
      <c r="K2" s="322">
        <f>Kader!BM45</f>
        <v>0</v>
      </c>
      <c r="L2" s="322">
        <f>Kader!BT45</f>
        <v>0</v>
      </c>
      <c r="M2" s="322">
        <f>Kader!CA45</f>
        <v>0</v>
      </c>
      <c r="N2" s="322">
        <f>Kader!CH45</f>
        <v>0</v>
      </c>
      <c r="O2" s="322">
        <f>Kader!CO45</f>
        <v>0</v>
      </c>
      <c r="P2" s="322">
        <f>Kader!CV45</f>
        <v>0</v>
      </c>
      <c r="Q2" s="322">
        <f>Kader!DC45</f>
        <v>0</v>
      </c>
      <c r="R2" s="322">
        <f>Kader!DJ45</f>
        <v>0</v>
      </c>
      <c r="S2" s="322">
        <f>Kader!DQ45</f>
        <v>0</v>
      </c>
      <c r="T2" s="322">
        <f>Kader!DX45</f>
        <v>0</v>
      </c>
      <c r="U2" s="322">
        <f>Kader!EE45</f>
        <v>0</v>
      </c>
      <c r="V2" s="322">
        <f>Kader!EL45</f>
        <v>0</v>
      </c>
      <c r="W2" s="322">
        <f>Kader!ES45</f>
        <v>0</v>
      </c>
      <c r="X2" s="322">
        <f>Kader!EZ45</f>
        <v>0</v>
      </c>
      <c r="Y2" s="322">
        <f>Kader!FG45</f>
        <v>0</v>
      </c>
      <c r="Z2" s="322">
        <f>Kader!FN45</f>
        <v>0</v>
      </c>
      <c r="AA2" s="322">
        <f>Kader!FU45</f>
        <v>0</v>
      </c>
      <c r="AB2" s="322">
        <f>Kader!GB45</f>
        <v>0</v>
      </c>
      <c r="AC2" s="322">
        <f>Kader!B117</f>
        <v>0</v>
      </c>
      <c r="AD2" s="322">
        <f>Kader!I117</f>
        <v>0</v>
      </c>
      <c r="AE2" s="322">
        <f>Kader!P117</f>
        <v>0</v>
      </c>
      <c r="AF2" s="322">
        <f>Kader!W117</f>
        <v>0</v>
      </c>
      <c r="AG2" s="322">
        <f>Kader!AD117</f>
        <v>0</v>
      </c>
      <c r="AH2" s="322">
        <f>Kader!AK117</f>
        <v>0</v>
      </c>
      <c r="AI2" s="322">
        <f>Kader!AR117</f>
        <v>0</v>
      </c>
      <c r="AJ2" s="322">
        <f>Kader!AY117</f>
        <v>0</v>
      </c>
      <c r="AK2" s="322">
        <f>Kader!BF117</f>
        <v>0</v>
      </c>
      <c r="AL2" s="322">
        <f>Kader!BM117</f>
        <v>0</v>
      </c>
      <c r="AM2" s="322">
        <f>Kader!BT117</f>
        <v>0</v>
      </c>
      <c r="AN2" s="322">
        <f>Kader!CA117</f>
        <v>0</v>
      </c>
      <c r="AO2" s="322">
        <f>Kader!CH117</f>
        <v>0</v>
      </c>
      <c r="AP2" s="322">
        <f>Kader!CO117</f>
        <v>0</v>
      </c>
      <c r="AQ2" s="322">
        <f>Kader!CV117</f>
        <v>0</v>
      </c>
      <c r="AR2" s="322">
        <f>Kader!DC117</f>
        <v>0</v>
      </c>
      <c r="AS2" s="322">
        <f>Kader!DJ117</f>
        <v>0</v>
      </c>
      <c r="AT2" s="322">
        <f>Kader!DQ117</f>
        <v>0</v>
      </c>
      <c r="AU2" s="322">
        <f>Kader!DX117</f>
        <v>0</v>
      </c>
      <c r="AV2" s="322">
        <f>Kader!EE117</f>
        <v>0</v>
      </c>
      <c r="AW2" s="322">
        <f>Kader!EL117</f>
        <v>0</v>
      </c>
      <c r="AX2" s="322">
        <f>Kader!ES117</f>
        <v>0</v>
      </c>
      <c r="AY2" s="322">
        <f>Kader!EZ117</f>
        <v>0</v>
      </c>
      <c r="AZ2" s="322">
        <f>Kader!FG117</f>
        <v>0</v>
      </c>
      <c r="BA2" s="322">
        <f>Kader!FN117</f>
        <v>0</v>
      </c>
      <c r="BB2" s="322">
        <f>Kader!FU117</f>
        <v>0</v>
      </c>
      <c r="BC2" s="323">
        <f aca="true" t="shared" si="2" ref="BC2:BC22">SUM(B2:BB2)</f>
        <v>2.3</v>
      </c>
      <c r="BD2" s="324">
        <v>1</v>
      </c>
    </row>
    <row r="3" spans="1:56" ht="12.75">
      <c r="A3" s="325" t="s">
        <v>278</v>
      </c>
      <c r="B3" s="322">
        <f>Kader!B46</f>
        <v>0.4</v>
      </c>
      <c r="C3" s="322">
        <f>Kader!I46</f>
        <v>0</v>
      </c>
      <c r="D3" s="322">
        <f>Kader!P46</f>
        <v>0</v>
      </c>
      <c r="E3" s="322">
        <f>Kader!W46</f>
        <v>0</v>
      </c>
      <c r="F3" s="322">
        <f>Kader!AD46</f>
        <v>0</v>
      </c>
      <c r="G3" s="322">
        <f>Kader!AK46</f>
        <v>0</v>
      </c>
      <c r="H3" s="322">
        <f>Kader!AR46</f>
        <v>0</v>
      </c>
      <c r="I3" s="322">
        <f>Kader!AY46</f>
        <v>0</v>
      </c>
      <c r="J3" s="322">
        <f>Kader!BF46</f>
        <v>0</v>
      </c>
      <c r="K3" s="322">
        <f>Kader!BM46</f>
        <v>0</v>
      </c>
      <c r="L3" s="322">
        <f>Kader!BT46</f>
        <v>0</v>
      </c>
      <c r="M3" s="322">
        <f>Kader!CA46</f>
        <v>0</v>
      </c>
      <c r="N3" s="322">
        <f>Kader!CH46</f>
        <v>0</v>
      </c>
      <c r="O3" s="322">
        <f>Kader!CO46</f>
        <v>0</v>
      </c>
      <c r="P3" s="322">
        <f>Kader!CV46</f>
        <v>0</v>
      </c>
      <c r="Q3" s="322">
        <f>Kader!DC46</f>
        <v>0</v>
      </c>
      <c r="R3" s="322">
        <f>Kader!DJ46</f>
        <v>0</v>
      </c>
      <c r="S3" s="322">
        <f>Kader!DQ46</f>
        <v>0</v>
      </c>
      <c r="T3" s="322">
        <f>Kader!DX46</f>
        <v>0</v>
      </c>
      <c r="U3" s="322">
        <f>Kader!EE46</f>
        <v>0</v>
      </c>
      <c r="V3" s="322">
        <f>Kader!EL46</f>
        <v>0</v>
      </c>
      <c r="W3" s="322">
        <f>Kader!ES46</f>
        <v>0</v>
      </c>
      <c r="X3" s="322">
        <f>Kader!EZ46</f>
        <v>0</v>
      </c>
      <c r="Y3" s="322">
        <f>Kader!FG46</f>
        <v>0</v>
      </c>
      <c r="Z3" s="322">
        <f>Kader!FN46</f>
        <v>0</v>
      </c>
      <c r="AA3" s="322">
        <f>Kader!FU46</f>
        <v>0</v>
      </c>
      <c r="AB3" s="322">
        <f>Kader!GB46</f>
        <v>0</v>
      </c>
      <c r="AC3" s="322">
        <f>Kader!B118</f>
        <v>0</v>
      </c>
      <c r="AD3" s="322">
        <f>Kader!I118</f>
        <v>0</v>
      </c>
      <c r="AE3" s="322">
        <f>Kader!P118</f>
        <v>0</v>
      </c>
      <c r="AF3" s="322">
        <f>Kader!W118</f>
        <v>0</v>
      </c>
      <c r="AG3" s="322">
        <f>Kader!AD118</f>
        <v>0</v>
      </c>
      <c r="AH3" s="322">
        <f>Kader!AK118</f>
        <v>0</v>
      </c>
      <c r="AI3" s="322">
        <f>Kader!AR118</f>
        <v>0</v>
      </c>
      <c r="AJ3" s="322">
        <f>Kader!AY118</f>
        <v>0</v>
      </c>
      <c r="AK3" s="322">
        <f>Kader!BF118</f>
        <v>0</v>
      </c>
      <c r="AL3" s="322">
        <f>Kader!BM118</f>
        <v>0</v>
      </c>
      <c r="AM3" s="322">
        <f>Kader!BT118</f>
        <v>0</v>
      </c>
      <c r="AN3" s="322">
        <f>Kader!CA118</f>
        <v>0</v>
      </c>
      <c r="AO3" s="322">
        <f>Kader!CH118</f>
        <v>0</v>
      </c>
      <c r="AP3" s="322">
        <f>Kader!CO118</f>
        <v>0</v>
      </c>
      <c r="AQ3" s="322">
        <f>Kader!CV118</f>
        <v>0</v>
      </c>
      <c r="AR3" s="322">
        <f>Kader!DC118</f>
        <v>0</v>
      </c>
      <c r="AS3" s="322">
        <f>Kader!DJ118</f>
        <v>0</v>
      </c>
      <c r="AT3" s="322">
        <f>Kader!DQ118</f>
        <v>0</v>
      </c>
      <c r="AU3" s="322">
        <f>Kader!DX118</f>
        <v>0</v>
      </c>
      <c r="AV3" s="322">
        <f>Kader!EE118</f>
        <v>0</v>
      </c>
      <c r="AW3" s="322">
        <f>Kader!EL118</f>
        <v>0</v>
      </c>
      <c r="AX3" s="322">
        <f>Kader!ES118</f>
        <v>0</v>
      </c>
      <c r="AY3" s="322">
        <f>Kader!EZ118</f>
        <v>0</v>
      </c>
      <c r="AZ3" s="322">
        <f>Kader!FG118</f>
        <v>0</v>
      </c>
      <c r="BA3" s="322">
        <f>Kader!FN118</f>
        <v>0</v>
      </c>
      <c r="BB3" s="322">
        <f>Kader!FU118</f>
        <v>0</v>
      </c>
      <c r="BC3" s="323">
        <f t="shared" si="2"/>
        <v>0.4</v>
      </c>
      <c r="BD3" s="324">
        <f>BC3/BC2</f>
        <v>0.1739130434782609</v>
      </c>
    </row>
    <row r="4" spans="1:56" ht="12.75">
      <c r="A4" s="325" t="s">
        <v>279</v>
      </c>
      <c r="B4" s="322">
        <f>Kader!B47</f>
        <v>0</v>
      </c>
      <c r="C4" s="322">
        <f>Kader!I47</f>
        <v>0</v>
      </c>
      <c r="D4" s="322">
        <f>Kader!P47</f>
        <v>0</v>
      </c>
      <c r="E4" s="322">
        <f>Kader!W47</f>
        <v>0</v>
      </c>
      <c r="F4" s="322">
        <f>Kader!AD47</f>
        <v>0</v>
      </c>
      <c r="G4" s="322">
        <f>Kader!AK47</f>
        <v>0</v>
      </c>
      <c r="H4" s="322">
        <f>Kader!AR47</f>
        <v>0</v>
      </c>
      <c r="I4" s="322">
        <f>Kader!AY47</f>
        <v>0</v>
      </c>
      <c r="J4" s="322">
        <f>Kader!BF47</f>
        <v>0</v>
      </c>
      <c r="K4" s="322">
        <f>Kader!BM47</f>
        <v>0</v>
      </c>
      <c r="L4" s="322">
        <f>Kader!BT47</f>
        <v>0</v>
      </c>
      <c r="M4" s="322">
        <f>Kader!CA47</f>
        <v>0</v>
      </c>
      <c r="N4" s="322">
        <f>Kader!CH47</f>
        <v>0</v>
      </c>
      <c r="O4" s="322">
        <f>Kader!CO47</f>
        <v>0</v>
      </c>
      <c r="P4" s="322">
        <f>Kader!CV47</f>
        <v>0</v>
      </c>
      <c r="Q4" s="322">
        <f>Kader!DC47</f>
        <v>0</v>
      </c>
      <c r="R4" s="322">
        <f>Kader!DJ47</f>
        <v>0</v>
      </c>
      <c r="S4" s="322">
        <f>Kader!DQ47</f>
        <v>0</v>
      </c>
      <c r="T4" s="322">
        <f>Kader!DX47</f>
        <v>0</v>
      </c>
      <c r="U4" s="322">
        <f>Kader!EE47</f>
        <v>0</v>
      </c>
      <c r="V4" s="322">
        <f>Kader!EL47</f>
        <v>0</v>
      </c>
      <c r="W4" s="322">
        <f>Kader!ES47</f>
        <v>0</v>
      </c>
      <c r="X4" s="322">
        <f>Kader!EZ47</f>
        <v>0</v>
      </c>
      <c r="Y4" s="322">
        <f>Kader!FG47</f>
        <v>0</v>
      </c>
      <c r="Z4" s="322">
        <f>Kader!FN47</f>
        <v>0</v>
      </c>
      <c r="AA4" s="322">
        <f>Kader!FU47</f>
        <v>0</v>
      </c>
      <c r="AB4" s="322">
        <f>Kader!GB47</f>
        <v>0</v>
      </c>
      <c r="AC4" s="322">
        <f>Kader!B119</f>
        <v>0</v>
      </c>
      <c r="AD4" s="322">
        <f>Kader!I119</f>
        <v>0</v>
      </c>
      <c r="AE4" s="322">
        <f>Kader!P119</f>
        <v>0</v>
      </c>
      <c r="AF4" s="322">
        <f>Kader!W119</f>
        <v>0</v>
      </c>
      <c r="AG4" s="322">
        <f>Kader!AD119</f>
        <v>0</v>
      </c>
      <c r="AH4" s="322">
        <f>Kader!AK119</f>
        <v>0</v>
      </c>
      <c r="AI4" s="322">
        <f>Kader!AR119</f>
        <v>0</v>
      </c>
      <c r="AJ4" s="322">
        <f>Kader!AY119</f>
        <v>0</v>
      </c>
      <c r="AK4" s="322">
        <f>Kader!BF119</f>
        <v>0</v>
      </c>
      <c r="AL4" s="322">
        <f>Kader!BM119</f>
        <v>0</v>
      </c>
      <c r="AM4" s="322">
        <f>Kader!BT119</f>
        <v>0</v>
      </c>
      <c r="AN4" s="322">
        <f>Kader!CA119</f>
        <v>0</v>
      </c>
      <c r="AO4" s="322">
        <f>Kader!CH119</f>
        <v>0</v>
      </c>
      <c r="AP4" s="322">
        <f>Kader!CO119</f>
        <v>0</v>
      </c>
      <c r="AQ4" s="322">
        <f>Kader!CV119</f>
        <v>0</v>
      </c>
      <c r="AR4" s="322">
        <f>Kader!DC119</f>
        <v>0</v>
      </c>
      <c r="AS4" s="322">
        <f>Kader!DJ119</f>
        <v>0</v>
      </c>
      <c r="AT4" s="322">
        <f>Kader!DQ119</f>
        <v>0</v>
      </c>
      <c r="AU4" s="322">
        <f>Kader!DX119</f>
        <v>0</v>
      </c>
      <c r="AV4" s="322">
        <f>Kader!EE119</f>
        <v>0</v>
      </c>
      <c r="AW4" s="322">
        <f>Kader!EL119</f>
        <v>0</v>
      </c>
      <c r="AX4" s="322">
        <f>Kader!ES119</f>
        <v>0</v>
      </c>
      <c r="AY4" s="322">
        <f>Kader!EZ119</f>
        <v>0</v>
      </c>
      <c r="AZ4" s="322">
        <f>Kader!FG119</f>
        <v>0</v>
      </c>
      <c r="BA4" s="322">
        <f>Kader!FN119</f>
        <v>0</v>
      </c>
      <c r="BB4" s="322">
        <f>Kader!FU119</f>
        <v>0</v>
      </c>
      <c r="BC4" s="323">
        <f t="shared" si="2"/>
        <v>0</v>
      </c>
      <c r="BD4" s="324">
        <f>BC4/BC2</f>
        <v>0</v>
      </c>
    </row>
    <row r="5" spans="1:56" ht="12.75">
      <c r="A5" s="325" t="s">
        <v>280</v>
      </c>
      <c r="B5" s="322">
        <f>Kader!B48</f>
        <v>0</v>
      </c>
      <c r="C5" s="322">
        <f>Kader!I48</f>
        <v>0</v>
      </c>
      <c r="D5" s="322">
        <f>Kader!P48</f>
        <v>0</v>
      </c>
      <c r="E5" s="322">
        <f>Kader!W48</f>
        <v>0</v>
      </c>
      <c r="F5" s="322">
        <f>Kader!AD48</f>
        <v>0</v>
      </c>
      <c r="G5" s="322">
        <f>Kader!AK48</f>
        <v>0</v>
      </c>
      <c r="H5" s="322">
        <f>Kader!AR48</f>
        <v>0</v>
      </c>
      <c r="I5" s="322">
        <f>Kader!AY48</f>
        <v>0</v>
      </c>
      <c r="J5" s="322">
        <f>Kader!BF48</f>
        <v>0</v>
      </c>
      <c r="K5" s="322">
        <f>Kader!BM48</f>
        <v>0</v>
      </c>
      <c r="L5" s="322">
        <f>Kader!BT48</f>
        <v>0</v>
      </c>
      <c r="M5" s="322">
        <f>Kader!CA48</f>
        <v>0</v>
      </c>
      <c r="N5" s="322">
        <f>Kader!CH48</f>
        <v>0</v>
      </c>
      <c r="O5" s="322">
        <f>Kader!CO48</f>
        <v>0</v>
      </c>
      <c r="P5" s="322">
        <f>Kader!CV48</f>
        <v>0</v>
      </c>
      <c r="Q5" s="322">
        <f>Kader!DC48</f>
        <v>0</v>
      </c>
      <c r="R5" s="322">
        <f>Kader!DJ48</f>
        <v>0</v>
      </c>
      <c r="S5" s="322">
        <f>Kader!DQ48</f>
        <v>0</v>
      </c>
      <c r="T5" s="322">
        <f>Kader!DX48</f>
        <v>0</v>
      </c>
      <c r="U5" s="322">
        <f>Kader!EE48</f>
        <v>0</v>
      </c>
      <c r="V5" s="322">
        <f>Kader!EL48</f>
        <v>0</v>
      </c>
      <c r="W5" s="322">
        <f>Kader!ES48</f>
        <v>0</v>
      </c>
      <c r="X5" s="322">
        <f>Kader!EZ48</f>
        <v>0</v>
      </c>
      <c r="Y5" s="322">
        <f>Kader!FG48</f>
        <v>0</v>
      </c>
      <c r="Z5" s="322">
        <f>Kader!FN48</f>
        <v>0</v>
      </c>
      <c r="AA5" s="322">
        <f>Kader!FU48</f>
        <v>0</v>
      </c>
      <c r="AB5" s="322">
        <f>Kader!GB48</f>
        <v>0</v>
      </c>
      <c r="AC5" s="322">
        <f>Kader!B120</f>
        <v>0</v>
      </c>
      <c r="AD5" s="322">
        <f>Kader!I120</f>
        <v>0</v>
      </c>
      <c r="AE5" s="322">
        <f>Kader!P120</f>
        <v>0</v>
      </c>
      <c r="AF5" s="322">
        <f>Kader!W120</f>
        <v>0</v>
      </c>
      <c r="AG5" s="322">
        <f>Kader!AD120</f>
        <v>0</v>
      </c>
      <c r="AH5" s="322">
        <f>Kader!AK120</f>
        <v>0</v>
      </c>
      <c r="AI5" s="322">
        <f>Kader!AR120</f>
        <v>0</v>
      </c>
      <c r="AJ5" s="322">
        <f>Kader!AY120</f>
        <v>0</v>
      </c>
      <c r="AK5" s="322">
        <f>Kader!BF120</f>
        <v>0</v>
      </c>
      <c r="AL5" s="322">
        <f>Kader!BM120</f>
        <v>0</v>
      </c>
      <c r="AM5" s="322">
        <f>Kader!BT120</f>
        <v>0</v>
      </c>
      <c r="AN5" s="322">
        <f>Kader!CA120</f>
        <v>0</v>
      </c>
      <c r="AO5" s="322">
        <f>Kader!CH120</f>
        <v>0</v>
      </c>
      <c r="AP5" s="322">
        <f>Kader!CO120</f>
        <v>0</v>
      </c>
      <c r="AQ5" s="322">
        <f>Kader!CV120</f>
        <v>0</v>
      </c>
      <c r="AR5" s="322">
        <f>Kader!DC120</f>
        <v>0</v>
      </c>
      <c r="AS5" s="322">
        <f>Kader!DJ120</f>
        <v>0</v>
      </c>
      <c r="AT5" s="322">
        <f>Kader!DQ120</f>
        <v>0</v>
      </c>
      <c r="AU5" s="322">
        <f>Kader!DX120</f>
        <v>0</v>
      </c>
      <c r="AV5" s="322">
        <f>Kader!EE120</f>
        <v>0</v>
      </c>
      <c r="AW5" s="322">
        <f>Kader!EL120</f>
        <v>0</v>
      </c>
      <c r="AX5" s="322">
        <f>Kader!ES120</f>
        <v>0</v>
      </c>
      <c r="AY5" s="322">
        <f>Kader!EZ120</f>
        <v>0</v>
      </c>
      <c r="AZ5" s="322">
        <f>Kader!FG120</f>
        <v>0</v>
      </c>
      <c r="BA5" s="322">
        <f>Kader!FN120</f>
        <v>0</v>
      </c>
      <c r="BB5" s="322">
        <f>Kader!FU120</f>
        <v>0</v>
      </c>
      <c r="BC5" s="323">
        <f t="shared" si="2"/>
        <v>0</v>
      </c>
      <c r="BD5" s="324">
        <f>BC5/BC2</f>
        <v>0</v>
      </c>
    </row>
    <row r="6" spans="1:56" ht="12.75">
      <c r="A6" s="325" t="s">
        <v>261</v>
      </c>
      <c r="B6" s="322">
        <f>Kader!B49</f>
        <v>0</v>
      </c>
      <c r="C6" s="322">
        <f>Kader!I49</f>
        <v>0</v>
      </c>
      <c r="D6" s="322">
        <f>Kader!P49</f>
        <v>0</v>
      </c>
      <c r="E6" s="322">
        <f>Kader!W49</f>
        <v>0</v>
      </c>
      <c r="F6" s="322">
        <f>Kader!AD49</f>
        <v>0</v>
      </c>
      <c r="G6" s="322">
        <f>Kader!AK49</f>
        <v>0</v>
      </c>
      <c r="H6" s="322">
        <f>Kader!AR49</f>
        <v>0</v>
      </c>
      <c r="I6" s="322">
        <f>Kader!AY49</f>
        <v>0</v>
      </c>
      <c r="J6" s="322">
        <f>Kader!BF49</f>
        <v>0</v>
      </c>
      <c r="K6" s="322">
        <f>Kader!BM49</f>
        <v>0</v>
      </c>
      <c r="L6" s="322">
        <f>Kader!BT49</f>
        <v>0</v>
      </c>
      <c r="M6" s="322">
        <f>Kader!CA49</f>
        <v>0</v>
      </c>
      <c r="N6" s="322">
        <f>Kader!CH49</f>
        <v>0</v>
      </c>
      <c r="O6" s="322">
        <f>Kader!CO49</f>
        <v>0</v>
      </c>
      <c r="P6" s="322">
        <f>Kader!CV49</f>
        <v>0</v>
      </c>
      <c r="Q6" s="322">
        <f>Kader!DC49</f>
        <v>0</v>
      </c>
      <c r="R6" s="322">
        <f>Kader!DJ49</f>
        <v>0</v>
      </c>
      <c r="S6" s="322">
        <f>Kader!DQ49</f>
        <v>0</v>
      </c>
      <c r="T6" s="322">
        <f>Kader!DX49</f>
        <v>0</v>
      </c>
      <c r="U6" s="322">
        <f>Kader!EE49</f>
        <v>0</v>
      </c>
      <c r="V6" s="322">
        <f>Kader!EL49</f>
        <v>0</v>
      </c>
      <c r="W6" s="322">
        <f>Kader!ES49</f>
        <v>0</v>
      </c>
      <c r="X6" s="322">
        <f>Kader!EZ49</f>
        <v>0</v>
      </c>
      <c r="Y6" s="322">
        <f>Kader!FG49</f>
        <v>0</v>
      </c>
      <c r="Z6" s="322">
        <f>Kader!FN49</f>
        <v>0</v>
      </c>
      <c r="AA6" s="322">
        <f>Kader!FU49</f>
        <v>0</v>
      </c>
      <c r="AB6" s="322">
        <f>Kader!GB49</f>
        <v>0</v>
      </c>
      <c r="AC6" s="322">
        <f>Kader!B121</f>
        <v>0</v>
      </c>
      <c r="AD6" s="322">
        <f>Kader!I121</f>
        <v>0</v>
      </c>
      <c r="AE6" s="322">
        <f>Kader!P121</f>
        <v>0</v>
      </c>
      <c r="AF6" s="322">
        <f>Kader!W121</f>
        <v>0</v>
      </c>
      <c r="AG6" s="322">
        <f>Kader!AD121</f>
        <v>0</v>
      </c>
      <c r="AH6" s="322">
        <f>Kader!AK121</f>
        <v>0</v>
      </c>
      <c r="AI6" s="322">
        <f>Kader!AR121</f>
        <v>0</v>
      </c>
      <c r="AJ6" s="322">
        <f>Kader!AY121</f>
        <v>0</v>
      </c>
      <c r="AK6" s="322">
        <f>Kader!BF121</f>
        <v>0</v>
      </c>
      <c r="AL6" s="322">
        <f>Kader!BM121</f>
        <v>0</v>
      </c>
      <c r="AM6" s="322">
        <f>Kader!BT121</f>
        <v>0</v>
      </c>
      <c r="AN6" s="322">
        <f>Kader!CA121</f>
        <v>0</v>
      </c>
      <c r="AO6" s="322">
        <f>Kader!CH121</f>
        <v>0</v>
      </c>
      <c r="AP6" s="322">
        <f>Kader!CO121</f>
        <v>0</v>
      </c>
      <c r="AQ6" s="322">
        <f>Kader!CV121</f>
        <v>0</v>
      </c>
      <c r="AR6" s="322">
        <f>Kader!DC121</f>
        <v>0</v>
      </c>
      <c r="AS6" s="322">
        <f>Kader!DJ121</f>
        <v>0</v>
      </c>
      <c r="AT6" s="322">
        <f>Kader!DQ121</f>
        <v>0</v>
      </c>
      <c r="AU6" s="322">
        <f>Kader!DX121</f>
        <v>0</v>
      </c>
      <c r="AV6" s="322">
        <f>Kader!EE121</f>
        <v>0</v>
      </c>
      <c r="AW6" s="322">
        <f>Kader!EL121</f>
        <v>0</v>
      </c>
      <c r="AX6" s="322">
        <f>Kader!ES121</f>
        <v>0</v>
      </c>
      <c r="AY6" s="322">
        <f>Kader!EZ121</f>
        <v>0</v>
      </c>
      <c r="AZ6" s="322">
        <f>Kader!FG121</f>
        <v>0</v>
      </c>
      <c r="BA6" s="322">
        <f>Kader!FN121</f>
        <v>0</v>
      </c>
      <c r="BB6" s="322">
        <f>Kader!FU121</f>
        <v>0</v>
      </c>
      <c r="BC6" s="323">
        <f t="shared" si="2"/>
        <v>0</v>
      </c>
      <c r="BD6" s="324">
        <f>BC6/BC2</f>
        <v>0</v>
      </c>
    </row>
    <row r="7" spans="1:56" ht="12.75">
      <c r="A7" s="325" t="s">
        <v>281</v>
      </c>
      <c r="B7" s="322">
        <f>Kader!B50</f>
        <v>1.5</v>
      </c>
      <c r="C7" s="322">
        <f>Kader!I50</f>
        <v>0</v>
      </c>
      <c r="D7" s="322">
        <f>Kader!P50</f>
        <v>0</v>
      </c>
      <c r="E7" s="322">
        <f>Kader!W50</f>
        <v>0</v>
      </c>
      <c r="F7" s="322">
        <f>Kader!AD50</f>
        <v>0</v>
      </c>
      <c r="G7" s="322">
        <f>Kader!AK50</f>
        <v>0</v>
      </c>
      <c r="H7" s="322">
        <f>Kader!AR50</f>
        <v>0</v>
      </c>
      <c r="I7" s="322">
        <f>Kader!AY50</f>
        <v>0</v>
      </c>
      <c r="J7" s="322">
        <f>Kader!BF50</f>
        <v>0</v>
      </c>
      <c r="K7" s="322">
        <f>Kader!BM50</f>
        <v>0</v>
      </c>
      <c r="L7" s="322">
        <f>Kader!BT50</f>
        <v>0</v>
      </c>
      <c r="M7" s="322">
        <f>Kader!CA50</f>
        <v>0</v>
      </c>
      <c r="N7" s="322">
        <f>Kader!CH50</f>
        <v>0</v>
      </c>
      <c r="O7" s="322">
        <f>Kader!CO50</f>
        <v>0</v>
      </c>
      <c r="P7" s="322">
        <f>Kader!CV50</f>
        <v>0</v>
      </c>
      <c r="Q7" s="322">
        <f>Kader!DC50</f>
        <v>0</v>
      </c>
      <c r="R7" s="322">
        <f>Kader!DJ50</f>
        <v>0</v>
      </c>
      <c r="S7" s="322">
        <f>Kader!DQ50</f>
        <v>0</v>
      </c>
      <c r="T7" s="322">
        <f>Kader!DX50</f>
        <v>0</v>
      </c>
      <c r="U7" s="322">
        <f>Kader!EE50</f>
        <v>0</v>
      </c>
      <c r="V7" s="322">
        <f>Kader!EL50</f>
        <v>0</v>
      </c>
      <c r="W7" s="322">
        <f>Kader!ES50</f>
        <v>0</v>
      </c>
      <c r="X7" s="322">
        <f>Kader!EZ50</f>
        <v>0</v>
      </c>
      <c r="Y7" s="322">
        <f>Kader!FG50</f>
        <v>0</v>
      </c>
      <c r="Z7" s="322">
        <f>Kader!FN50</f>
        <v>0</v>
      </c>
      <c r="AA7" s="322">
        <f>Kader!FU50</f>
        <v>0</v>
      </c>
      <c r="AB7" s="322">
        <f>Kader!GB50</f>
        <v>0</v>
      </c>
      <c r="AC7" s="322">
        <f>Kader!B122</f>
        <v>0</v>
      </c>
      <c r="AD7" s="322">
        <f>Kader!I122</f>
        <v>0</v>
      </c>
      <c r="AE7" s="322">
        <f>Kader!P122</f>
        <v>0</v>
      </c>
      <c r="AF7" s="322">
        <f>Kader!W122</f>
        <v>0</v>
      </c>
      <c r="AG7" s="322">
        <f>Kader!AD122</f>
        <v>0</v>
      </c>
      <c r="AH7" s="322">
        <f>Kader!AK122</f>
        <v>0</v>
      </c>
      <c r="AI7" s="322">
        <f>Kader!AR122</f>
        <v>0</v>
      </c>
      <c r="AJ7" s="322">
        <f>Kader!AY122</f>
        <v>0</v>
      </c>
      <c r="AK7" s="322">
        <f>Kader!BF122</f>
        <v>0</v>
      </c>
      <c r="AL7" s="322">
        <f>Kader!BM122</f>
        <v>0</v>
      </c>
      <c r="AM7" s="322">
        <f>Kader!BT122</f>
        <v>0</v>
      </c>
      <c r="AN7" s="322">
        <f>Kader!CA122</f>
        <v>0</v>
      </c>
      <c r="AO7" s="322">
        <f>Kader!CH122</f>
        <v>0</v>
      </c>
      <c r="AP7" s="322">
        <f>Kader!CO122</f>
        <v>0</v>
      </c>
      <c r="AQ7" s="322">
        <f>Kader!CV122</f>
        <v>0</v>
      </c>
      <c r="AR7" s="322">
        <f>Kader!DC122</f>
        <v>0</v>
      </c>
      <c r="AS7" s="322">
        <f>Kader!DJ122</f>
        <v>0</v>
      </c>
      <c r="AT7" s="322">
        <f>Kader!DQ122</f>
        <v>0</v>
      </c>
      <c r="AU7" s="322">
        <f>Kader!DX122</f>
        <v>0</v>
      </c>
      <c r="AV7" s="322">
        <f>Kader!EE122</f>
        <v>0</v>
      </c>
      <c r="AW7" s="322">
        <f>Kader!EL122</f>
        <v>0</v>
      </c>
      <c r="AX7" s="322">
        <f>Kader!ES122</f>
        <v>0</v>
      </c>
      <c r="AY7" s="322">
        <f>Kader!EZ122</f>
        <v>0</v>
      </c>
      <c r="AZ7" s="322">
        <f>Kader!FG122</f>
        <v>0</v>
      </c>
      <c r="BA7" s="322">
        <f>Kader!FN122</f>
        <v>0</v>
      </c>
      <c r="BB7" s="322">
        <f>Kader!FU122</f>
        <v>0</v>
      </c>
      <c r="BC7" s="323">
        <f t="shared" si="2"/>
        <v>1.5</v>
      </c>
      <c r="BD7" s="324">
        <f>BC7/BC2</f>
        <v>0.6521739130434783</v>
      </c>
    </row>
    <row r="8" spans="1:56" ht="12.75">
      <c r="A8" s="325" t="s">
        <v>262</v>
      </c>
      <c r="B8" s="322">
        <f>Kader!B51</f>
        <v>0.4</v>
      </c>
      <c r="C8" s="322">
        <f>Kader!I51</f>
        <v>0</v>
      </c>
      <c r="D8" s="322">
        <f>Kader!P51</f>
        <v>0</v>
      </c>
      <c r="E8" s="322">
        <f>Kader!W51</f>
        <v>0</v>
      </c>
      <c r="F8" s="322">
        <f>Kader!AD51</f>
        <v>0</v>
      </c>
      <c r="G8" s="322">
        <f>Kader!AK51</f>
        <v>0</v>
      </c>
      <c r="H8" s="322">
        <f>Kader!AR51</f>
        <v>0</v>
      </c>
      <c r="I8" s="322">
        <f>Kader!AY51</f>
        <v>0</v>
      </c>
      <c r="J8" s="322">
        <f>Kader!BF51</f>
        <v>0</v>
      </c>
      <c r="K8" s="322">
        <f>Kader!BM51</f>
        <v>0</v>
      </c>
      <c r="L8" s="322">
        <f>Kader!BT51</f>
        <v>0</v>
      </c>
      <c r="M8" s="322">
        <f>Kader!CA51</f>
        <v>0</v>
      </c>
      <c r="N8" s="322">
        <f>Kader!CH51</f>
        <v>0</v>
      </c>
      <c r="O8" s="322">
        <f>Kader!CO51</f>
        <v>0</v>
      </c>
      <c r="P8" s="322">
        <f>Kader!CV51</f>
        <v>0</v>
      </c>
      <c r="Q8" s="322">
        <f>Kader!DC51</f>
        <v>0</v>
      </c>
      <c r="R8" s="322">
        <f>Kader!DJ51</f>
        <v>0</v>
      </c>
      <c r="S8" s="322">
        <f>Kader!DQ51</f>
        <v>0</v>
      </c>
      <c r="T8" s="322">
        <f>Kader!DX51</f>
        <v>0</v>
      </c>
      <c r="U8" s="322">
        <f>Kader!EE51</f>
        <v>0</v>
      </c>
      <c r="V8" s="322">
        <f>Kader!EL51</f>
        <v>0</v>
      </c>
      <c r="W8" s="322">
        <f>Kader!ES51</f>
        <v>0</v>
      </c>
      <c r="X8" s="322">
        <f>Kader!EZ51</f>
        <v>0</v>
      </c>
      <c r="Y8" s="322">
        <f>Kader!FG51</f>
        <v>0</v>
      </c>
      <c r="Z8" s="322">
        <f>Kader!FN51</f>
        <v>0</v>
      </c>
      <c r="AA8" s="322">
        <f>Kader!FU51</f>
        <v>0</v>
      </c>
      <c r="AB8" s="322">
        <f>Kader!GB51</f>
        <v>0</v>
      </c>
      <c r="AC8" s="322">
        <f>Kader!B123</f>
        <v>0</v>
      </c>
      <c r="AD8" s="322">
        <f>Kader!I123</f>
        <v>0</v>
      </c>
      <c r="AE8" s="322">
        <f>Kader!P123</f>
        <v>0</v>
      </c>
      <c r="AF8" s="322">
        <f>Kader!W123</f>
        <v>0</v>
      </c>
      <c r="AG8" s="322">
        <f>Kader!AD123</f>
        <v>0</v>
      </c>
      <c r="AH8" s="322">
        <f>Kader!AK123</f>
        <v>0</v>
      </c>
      <c r="AI8" s="322">
        <f>Kader!AR123</f>
        <v>0</v>
      </c>
      <c r="AJ8" s="322">
        <f>Kader!AY123</f>
        <v>0</v>
      </c>
      <c r="AK8" s="322">
        <f>Kader!BF123</f>
        <v>0</v>
      </c>
      <c r="AL8" s="322">
        <f>Kader!BM123</f>
        <v>0</v>
      </c>
      <c r="AM8" s="322">
        <f>Kader!BT123</f>
        <v>0</v>
      </c>
      <c r="AN8" s="322">
        <f>Kader!CA123</f>
        <v>0</v>
      </c>
      <c r="AO8" s="322">
        <f>Kader!CH123</f>
        <v>0</v>
      </c>
      <c r="AP8" s="322">
        <f>Kader!CO123</f>
        <v>0</v>
      </c>
      <c r="AQ8" s="322">
        <f>Kader!CV123</f>
        <v>0</v>
      </c>
      <c r="AR8" s="322">
        <f>Kader!DC123</f>
        <v>0</v>
      </c>
      <c r="AS8" s="322">
        <f>Kader!DJ123</f>
        <v>0</v>
      </c>
      <c r="AT8" s="322">
        <f>Kader!DQ123</f>
        <v>0</v>
      </c>
      <c r="AU8" s="322">
        <f>Kader!DX123</f>
        <v>0</v>
      </c>
      <c r="AV8" s="322">
        <f>Kader!EE123</f>
        <v>0</v>
      </c>
      <c r="AW8" s="322">
        <f>Kader!EL123</f>
        <v>0</v>
      </c>
      <c r="AX8" s="322">
        <f>Kader!ES123</f>
        <v>0</v>
      </c>
      <c r="AY8" s="322">
        <f>Kader!EZ123</f>
        <v>0</v>
      </c>
      <c r="AZ8" s="322">
        <f>Kader!FG123</f>
        <v>0</v>
      </c>
      <c r="BA8" s="322">
        <f>Kader!FN123</f>
        <v>0</v>
      </c>
      <c r="BB8" s="322">
        <f>Kader!FU123</f>
        <v>0</v>
      </c>
      <c r="BC8" s="323">
        <f t="shared" si="2"/>
        <v>0.4</v>
      </c>
      <c r="BD8" s="324">
        <f>BC8/BC2</f>
        <v>0.1739130434782609</v>
      </c>
    </row>
    <row r="9" spans="1:56" ht="12.75">
      <c r="A9" s="321" t="s">
        <v>282</v>
      </c>
      <c r="B9" s="322">
        <f>Kader!B52</f>
        <v>48.3</v>
      </c>
      <c r="C9" s="322">
        <f>Kader!I52</f>
        <v>0</v>
      </c>
      <c r="D9" s="322">
        <f>Kader!P52</f>
        <v>0</v>
      </c>
      <c r="E9" s="322">
        <f>Kader!W52</f>
        <v>0</v>
      </c>
      <c r="F9" s="322">
        <f>Kader!AD52</f>
        <v>0</v>
      </c>
      <c r="G9" s="322">
        <f>Kader!AK52</f>
        <v>0</v>
      </c>
      <c r="H9" s="322">
        <f>Kader!AR52</f>
        <v>0</v>
      </c>
      <c r="I9" s="322">
        <f>Kader!AY52</f>
        <v>0</v>
      </c>
      <c r="J9" s="322">
        <f>Kader!BF52</f>
        <v>0</v>
      </c>
      <c r="K9" s="322">
        <f>Kader!BM52</f>
        <v>0</v>
      </c>
      <c r="L9" s="322">
        <f>Kader!BT52</f>
        <v>0</v>
      </c>
      <c r="M9" s="322">
        <f>Kader!CA52</f>
        <v>0</v>
      </c>
      <c r="N9" s="322">
        <f>Kader!CH52</f>
        <v>0</v>
      </c>
      <c r="O9" s="322">
        <f>Kader!CO52</f>
        <v>0</v>
      </c>
      <c r="P9" s="322">
        <f>Kader!CV52</f>
        <v>0</v>
      </c>
      <c r="Q9" s="322">
        <f>Kader!DC52</f>
        <v>0</v>
      </c>
      <c r="R9" s="322">
        <f>Kader!DJ52</f>
        <v>0</v>
      </c>
      <c r="S9" s="322">
        <f>Kader!DQ52</f>
        <v>0</v>
      </c>
      <c r="T9" s="322">
        <f>Kader!DX52</f>
        <v>0</v>
      </c>
      <c r="U9" s="322">
        <f>Kader!EE52</f>
        <v>0</v>
      </c>
      <c r="V9" s="322">
        <f>Kader!EL52</f>
        <v>0</v>
      </c>
      <c r="W9" s="322">
        <f>Kader!ES52</f>
        <v>0</v>
      </c>
      <c r="X9" s="322">
        <f>Kader!EZ52</f>
        <v>0</v>
      </c>
      <c r="Y9" s="322">
        <f>Kader!FG52</f>
        <v>0</v>
      </c>
      <c r="Z9" s="322">
        <f>Kader!FN52</f>
        <v>0</v>
      </c>
      <c r="AA9" s="322">
        <f>Kader!FU52</f>
        <v>0</v>
      </c>
      <c r="AB9" s="322">
        <f>Kader!GB52</f>
        <v>0</v>
      </c>
      <c r="AC9" s="322">
        <f>Kader!B124</f>
        <v>0</v>
      </c>
      <c r="AD9" s="322">
        <f>Kader!I124</f>
        <v>0</v>
      </c>
      <c r="AE9" s="322">
        <f>Kader!P124</f>
        <v>0</v>
      </c>
      <c r="AF9" s="322">
        <f>Kader!W124</f>
        <v>0</v>
      </c>
      <c r="AG9" s="322">
        <f>Kader!AD124</f>
        <v>0</v>
      </c>
      <c r="AH9" s="322">
        <f>Kader!AK124</f>
        <v>0</v>
      </c>
      <c r="AI9" s="322">
        <f>Kader!AR124</f>
        <v>0</v>
      </c>
      <c r="AJ9" s="322">
        <f>Kader!AY124</f>
        <v>0</v>
      </c>
      <c r="AK9" s="322">
        <f>Kader!BF124</f>
        <v>0</v>
      </c>
      <c r="AL9" s="322">
        <f>Kader!BM124</f>
        <v>0</v>
      </c>
      <c r="AM9" s="322">
        <f>Kader!BT124</f>
        <v>0</v>
      </c>
      <c r="AN9" s="322">
        <f>Kader!CA124</f>
        <v>0</v>
      </c>
      <c r="AO9" s="322">
        <f>Kader!CH124</f>
        <v>0</v>
      </c>
      <c r="AP9" s="322">
        <f>Kader!CO124</f>
        <v>0</v>
      </c>
      <c r="AQ9" s="322">
        <f>Kader!CV124</f>
        <v>0</v>
      </c>
      <c r="AR9" s="322">
        <f>Kader!DC124</f>
        <v>0</v>
      </c>
      <c r="AS9" s="322">
        <f>Kader!DJ124</f>
        <v>0</v>
      </c>
      <c r="AT9" s="322">
        <f>Kader!DQ124</f>
        <v>0</v>
      </c>
      <c r="AU9" s="322">
        <f>Kader!DX124</f>
        <v>0</v>
      </c>
      <c r="AV9" s="322">
        <f>Kader!EE124</f>
        <v>0</v>
      </c>
      <c r="AW9" s="322">
        <f>Kader!EL124</f>
        <v>0</v>
      </c>
      <c r="AX9" s="322">
        <f>Kader!ES124</f>
        <v>0</v>
      </c>
      <c r="AY9" s="322">
        <f>Kader!EZ124</f>
        <v>0</v>
      </c>
      <c r="AZ9" s="322">
        <f>Kader!FG124</f>
        <v>0</v>
      </c>
      <c r="BA9" s="322">
        <f>Kader!FN124</f>
        <v>0</v>
      </c>
      <c r="BB9" s="322">
        <f>Kader!FU124</f>
        <v>0</v>
      </c>
      <c r="BC9" s="323">
        <f t="shared" si="2"/>
        <v>48.3</v>
      </c>
      <c r="BD9" s="324">
        <v>1</v>
      </c>
    </row>
    <row r="10" spans="1:56" ht="12.75">
      <c r="A10" s="325" t="s">
        <v>278</v>
      </c>
      <c r="B10" s="322">
        <f>Kader!B53</f>
        <v>45</v>
      </c>
      <c r="C10" s="322">
        <f>Kader!I53</f>
        <v>0</v>
      </c>
      <c r="D10" s="322">
        <f>Kader!P53</f>
        <v>0</v>
      </c>
      <c r="E10" s="322">
        <f>Kader!W53</f>
        <v>0</v>
      </c>
      <c r="F10" s="322">
        <f>Kader!AD53</f>
        <v>0</v>
      </c>
      <c r="G10" s="322">
        <f>Kader!AK53</f>
        <v>0</v>
      </c>
      <c r="H10" s="322">
        <f>Kader!AR53</f>
        <v>0</v>
      </c>
      <c r="I10" s="322">
        <f>Kader!AY53</f>
        <v>0</v>
      </c>
      <c r="J10" s="322">
        <f>Kader!BF53</f>
        <v>0</v>
      </c>
      <c r="K10" s="322">
        <f>Kader!BM53</f>
        <v>0</v>
      </c>
      <c r="L10" s="322">
        <f>Kader!BT53</f>
        <v>0</v>
      </c>
      <c r="M10" s="322">
        <f>Kader!CA53</f>
        <v>0</v>
      </c>
      <c r="N10" s="322">
        <f>Kader!CH53</f>
        <v>0</v>
      </c>
      <c r="O10" s="322">
        <f>Kader!CO53</f>
        <v>0</v>
      </c>
      <c r="P10" s="322">
        <f>Kader!CV53</f>
        <v>0</v>
      </c>
      <c r="Q10" s="322">
        <f>Kader!DC53</f>
        <v>0</v>
      </c>
      <c r="R10" s="322">
        <f>Kader!DJ53</f>
        <v>0</v>
      </c>
      <c r="S10" s="322">
        <f>Kader!DQ53</f>
        <v>0</v>
      </c>
      <c r="T10" s="322">
        <f>Kader!DX53</f>
        <v>0</v>
      </c>
      <c r="U10" s="322">
        <f>Kader!EE53</f>
        <v>0</v>
      </c>
      <c r="V10" s="322">
        <f>Kader!EL53</f>
        <v>0</v>
      </c>
      <c r="W10" s="322">
        <f>Kader!ES53</f>
        <v>0</v>
      </c>
      <c r="X10" s="322">
        <f>Kader!EZ53</f>
        <v>0</v>
      </c>
      <c r="Y10" s="322">
        <f>Kader!FG53</f>
        <v>0</v>
      </c>
      <c r="Z10" s="322">
        <f>Kader!FN53</f>
        <v>0</v>
      </c>
      <c r="AA10" s="322">
        <f>Kader!FU53</f>
        <v>0</v>
      </c>
      <c r="AB10" s="322">
        <f>Kader!GB53</f>
        <v>0</v>
      </c>
      <c r="AC10" s="322">
        <f>Kader!B125</f>
        <v>0</v>
      </c>
      <c r="AD10" s="322">
        <f>Kader!I125</f>
        <v>0</v>
      </c>
      <c r="AE10" s="322">
        <f>Kader!P125</f>
        <v>0</v>
      </c>
      <c r="AF10" s="322">
        <f>Kader!W125</f>
        <v>0</v>
      </c>
      <c r="AG10" s="322">
        <f>Kader!AD125</f>
        <v>0</v>
      </c>
      <c r="AH10" s="322">
        <f>Kader!AK125</f>
        <v>0</v>
      </c>
      <c r="AI10" s="322">
        <f>Kader!AR125</f>
        <v>0</v>
      </c>
      <c r="AJ10" s="322">
        <f>Kader!AY125</f>
        <v>0</v>
      </c>
      <c r="AK10" s="322">
        <f>Kader!BF125</f>
        <v>0</v>
      </c>
      <c r="AL10" s="322">
        <f>Kader!BM125</f>
        <v>0</v>
      </c>
      <c r="AM10" s="322">
        <f>Kader!BT125</f>
        <v>0</v>
      </c>
      <c r="AN10" s="322">
        <f>Kader!CA125</f>
        <v>0</v>
      </c>
      <c r="AO10" s="322">
        <f>Kader!CH125</f>
        <v>0</v>
      </c>
      <c r="AP10" s="322">
        <f>Kader!CO125</f>
        <v>0</v>
      </c>
      <c r="AQ10" s="322">
        <f>Kader!CV125</f>
        <v>0</v>
      </c>
      <c r="AR10" s="322">
        <f>Kader!DC125</f>
        <v>0</v>
      </c>
      <c r="AS10" s="322">
        <f>Kader!DJ125</f>
        <v>0</v>
      </c>
      <c r="AT10" s="322">
        <f>Kader!DQ125</f>
        <v>0</v>
      </c>
      <c r="AU10" s="322">
        <f>Kader!DX125</f>
        <v>0</v>
      </c>
      <c r="AV10" s="322">
        <f>Kader!EE125</f>
        <v>0</v>
      </c>
      <c r="AW10" s="322">
        <f>Kader!EL125</f>
        <v>0</v>
      </c>
      <c r="AX10" s="322">
        <f>Kader!ES125</f>
        <v>0</v>
      </c>
      <c r="AY10" s="322">
        <f>Kader!EZ125</f>
        <v>0</v>
      </c>
      <c r="AZ10" s="322">
        <f>Kader!FG125</f>
        <v>0</v>
      </c>
      <c r="BA10" s="322">
        <f>Kader!FN125</f>
        <v>0</v>
      </c>
      <c r="BB10" s="322">
        <f>Kader!FU125</f>
        <v>0</v>
      </c>
      <c r="BC10" s="323">
        <f t="shared" si="2"/>
        <v>45</v>
      </c>
      <c r="BD10" s="324">
        <f>BC10/BC9</f>
        <v>0.9316770186335405</v>
      </c>
    </row>
    <row r="11" spans="1:56" ht="12.75">
      <c r="A11" s="325" t="s">
        <v>1</v>
      </c>
      <c r="B11" s="322">
        <f>Kader!B54</f>
        <v>3.3</v>
      </c>
      <c r="C11" s="322">
        <f>Kader!I54</f>
        <v>0</v>
      </c>
      <c r="D11" s="322">
        <f>Kader!P54</f>
        <v>0</v>
      </c>
      <c r="E11" s="322">
        <f>Kader!W54</f>
        <v>0</v>
      </c>
      <c r="F11" s="322">
        <f>Kader!AD54</f>
        <v>0</v>
      </c>
      <c r="G11" s="322">
        <f>Kader!AK54</f>
        <v>0</v>
      </c>
      <c r="H11" s="322">
        <f>Kader!AR54</f>
        <v>0</v>
      </c>
      <c r="I11" s="322">
        <f>Kader!AY54</f>
        <v>0</v>
      </c>
      <c r="J11" s="322">
        <f>Kader!BF54</f>
        <v>0</v>
      </c>
      <c r="K11" s="322">
        <f>Kader!BM54</f>
        <v>0</v>
      </c>
      <c r="L11" s="322">
        <f>Kader!BT54</f>
        <v>0</v>
      </c>
      <c r="M11" s="322">
        <f>Kader!CA54</f>
        <v>0</v>
      </c>
      <c r="N11" s="322">
        <f>Kader!CH54</f>
        <v>0</v>
      </c>
      <c r="O11" s="322">
        <f>Kader!CO54</f>
        <v>0</v>
      </c>
      <c r="P11" s="322">
        <f>Kader!CV54</f>
        <v>0</v>
      </c>
      <c r="Q11" s="322">
        <f>Kader!DC54</f>
        <v>0</v>
      </c>
      <c r="R11" s="322">
        <f>Kader!DJ54</f>
        <v>0</v>
      </c>
      <c r="S11" s="322">
        <f>Kader!DQ54</f>
        <v>0</v>
      </c>
      <c r="T11" s="322">
        <f>Kader!DX54</f>
        <v>0</v>
      </c>
      <c r="U11" s="322">
        <f>Kader!EE54</f>
        <v>0</v>
      </c>
      <c r="V11" s="322">
        <f>Kader!EL54</f>
        <v>0</v>
      </c>
      <c r="W11" s="322">
        <f>Kader!ES54</f>
        <v>0</v>
      </c>
      <c r="X11" s="322">
        <f>Kader!EZ54</f>
        <v>0</v>
      </c>
      <c r="Y11" s="322">
        <f>Kader!FG54</f>
        <v>0</v>
      </c>
      <c r="Z11" s="322">
        <f>Kader!FN54</f>
        <v>0</v>
      </c>
      <c r="AA11" s="322">
        <f>Kader!FU54</f>
        <v>0</v>
      </c>
      <c r="AB11" s="322">
        <f>Kader!GB54</f>
        <v>0</v>
      </c>
      <c r="AC11" s="322">
        <f>Kader!B126</f>
        <v>0</v>
      </c>
      <c r="AD11" s="322">
        <f>Kader!I126</f>
        <v>0</v>
      </c>
      <c r="AE11" s="322">
        <f>Kader!P126</f>
        <v>0</v>
      </c>
      <c r="AF11" s="322">
        <f>Kader!W126</f>
        <v>0</v>
      </c>
      <c r="AG11" s="322">
        <f>Kader!AD126</f>
        <v>0</v>
      </c>
      <c r="AH11" s="322">
        <f>Kader!AK126</f>
        <v>0</v>
      </c>
      <c r="AI11" s="322">
        <f>Kader!AR126</f>
        <v>0</v>
      </c>
      <c r="AJ11" s="322">
        <f>Kader!AY126</f>
        <v>0</v>
      </c>
      <c r="AK11" s="322">
        <f>Kader!BF126</f>
        <v>0</v>
      </c>
      <c r="AL11" s="322">
        <f>Kader!BM126</f>
        <v>0</v>
      </c>
      <c r="AM11" s="322">
        <f>Kader!BT126</f>
        <v>0</v>
      </c>
      <c r="AN11" s="322">
        <f>Kader!CA126</f>
        <v>0</v>
      </c>
      <c r="AO11" s="322">
        <f>Kader!CH126</f>
        <v>0</v>
      </c>
      <c r="AP11" s="322">
        <f>Kader!CO126</f>
        <v>0</v>
      </c>
      <c r="AQ11" s="322">
        <f>Kader!CV126</f>
        <v>0</v>
      </c>
      <c r="AR11" s="322">
        <f>Kader!DC126</f>
        <v>0</v>
      </c>
      <c r="AS11" s="322">
        <f>Kader!DJ126</f>
        <v>0</v>
      </c>
      <c r="AT11" s="322">
        <f>Kader!DQ126</f>
        <v>0</v>
      </c>
      <c r="AU11" s="322">
        <f>Kader!DX126</f>
        <v>0</v>
      </c>
      <c r="AV11" s="322">
        <f>Kader!EE126</f>
        <v>0</v>
      </c>
      <c r="AW11" s="322">
        <f>Kader!EL126</f>
        <v>0</v>
      </c>
      <c r="AX11" s="322">
        <f>Kader!ES126</f>
        <v>0</v>
      </c>
      <c r="AY11" s="322">
        <f>Kader!EZ126</f>
        <v>0</v>
      </c>
      <c r="AZ11" s="322">
        <f>Kader!FG126</f>
        <v>0</v>
      </c>
      <c r="BA11" s="322">
        <f>Kader!FN126</f>
        <v>0</v>
      </c>
      <c r="BB11" s="322">
        <f>Kader!FU126</f>
        <v>0</v>
      </c>
      <c r="BC11" s="323">
        <f t="shared" si="2"/>
        <v>3.3</v>
      </c>
      <c r="BD11" s="324">
        <f>BC11/BC9</f>
        <v>0.06832298136645963</v>
      </c>
    </row>
    <row r="12" spans="1:56" ht="12.75">
      <c r="A12" s="325" t="s">
        <v>260</v>
      </c>
      <c r="B12" s="322">
        <f>Kader!B55</f>
        <v>0</v>
      </c>
      <c r="C12" s="322">
        <f>Kader!I55</f>
        <v>0</v>
      </c>
      <c r="D12" s="322">
        <f>Kader!P55</f>
        <v>0</v>
      </c>
      <c r="E12" s="322">
        <f>Kader!W55</f>
        <v>0</v>
      </c>
      <c r="F12" s="322">
        <f>Kader!AD55</f>
        <v>0</v>
      </c>
      <c r="G12" s="322">
        <f>Kader!AK55</f>
        <v>0</v>
      </c>
      <c r="H12" s="322">
        <f>Kader!AR55</f>
        <v>0</v>
      </c>
      <c r="I12" s="322">
        <f>Kader!AY55</f>
        <v>0</v>
      </c>
      <c r="J12" s="322">
        <f>Kader!BF55</f>
        <v>0</v>
      </c>
      <c r="K12" s="322">
        <f>Kader!BM55</f>
        <v>0</v>
      </c>
      <c r="L12" s="322">
        <f>Kader!BT55</f>
        <v>0</v>
      </c>
      <c r="M12" s="322">
        <f>Kader!CA55</f>
        <v>0</v>
      </c>
      <c r="N12" s="322">
        <f>Kader!CH55</f>
        <v>0</v>
      </c>
      <c r="O12" s="322">
        <f>Kader!CO55</f>
        <v>0</v>
      </c>
      <c r="P12" s="322">
        <f>Kader!CV55</f>
        <v>0</v>
      </c>
      <c r="Q12" s="322">
        <f>Kader!DC55</f>
        <v>0</v>
      </c>
      <c r="R12" s="322">
        <f>Kader!DJ55</f>
        <v>0</v>
      </c>
      <c r="S12" s="322">
        <f>Kader!DQ55</f>
        <v>0</v>
      </c>
      <c r="T12" s="322">
        <f>Kader!DX55</f>
        <v>0</v>
      </c>
      <c r="U12" s="322">
        <f>Kader!EE55</f>
        <v>0</v>
      </c>
      <c r="V12" s="322">
        <f>Kader!EL55</f>
        <v>0</v>
      </c>
      <c r="W12" s="322">
        <f>Kader!ES55</f>
        <v>0</v>
      </c>
      <c r="X12" s="322">
        <f>Kader!EZ55</f>
        <v>0</v>
      </c>
      <c r="Y12" s="322">
        <f>Kader!FG55</f>
        <v>0</v>
      </c>
      <c r="Z12" s="322">
        <f>Kader!FN55</f>
        <v>0</v>
      </c>
      <c r="AA12" s="322">
        <f>Kader!FU55</f>
        <v>0</v>
      </c>
      <c r="AB12" s="322">
        <f>Kader!GB55</f>
        <v>0</v>
      </c>
      <c r="AC12" s="322">
        <f>Kader!B127</f>
        <v>0</v>
      </c>
      <c r="AD12" s="322">
        <f>Kader!I127</f>
        <v>0</v>
      </c>
      <c r="AE12" s="322">
        <f>Kader!P127</f>
        <v>0</v>
      </c>
      <c r="AF12" s="322">
        <f>Kader!W127</f>
        <v>0</v>
      </c>
      <c r="AG12" s="322">
        <f>Kader!AD127</f>
        <v>0</v>
      </c>
      <c r="AH12" s="322">
        <f>Kader!AK127</f>
        <v>0</v>
      </c>
      <c r="AI12" s="322">
        <f>Kader!AR127</f>
        <v>0</v>
      </c>
      <c r="AJ12" s="322">
        <f>Kader!AY127</f>
        <v>0</v>
      </c>
      <c r="AK12" s="322">
        <f>Kader!BF127</f>
        <v>0</v>
      </c>
      <c r="AL12" s="322">
        <f>Kader!BM127</f>
        <v>0</v>
      </c>
      <c r="AM12" s="322">
        <f>Kader!BT127</f>
        <v>0</v>
      </c>
      <c r="AN12" s="322">
        <f>Kader!CA127</f>
        <v>0</v>
      </c>
      <c r="AO12" s="322">
        <f>Kader!CH127</f>
        <v>0</v>
      </c>
      <c r="AP12" s="322">
        <f>Kader!CO127</f>
        <v>0</v>
      </c>
      <c r="AQ12" s="322">
        <f>Kader!CV127</f>
        <v>0</v>
      </c>
      <c r="AR12" s="322">
        <f>Kader!DC127</f>
        <v>0</v>
      </c>
      <c r="AS12" s="322">
        <f>Kader!DJ127</f>
        <v>0</v>
      </c>
      <c r="AT12" s="322">
        <f>Kader!DQ127</f>
        <v>0</v>
      </c>
      <c r="AU12" s="322">
        <f>Kader!DX127</f>
        <v>0</v>
      </c>
      <c r="AV12" s="322">
        <f>Kader!EE127</f>
        <v>0</v>
      </c>
      <c r="AW12" s="322">
        <f>Kader!EL127</f>
        <v>0</v>
      </c>
      <c r="AX12" s="322">
        <f>Kader!ES127</f>
        <v>0</v>
      </c>
      <c r="AY12" s="322">
        <f>Kader!EZ127</f>
        <v>0</v>
      </c>
      <c r="AZ12" s="322">
        <f>Kader!FG127</f>
        <v>0</v>
      </c>
      <c r="BA12" s="322">
        <f>Kader!FN127</f>
        <v>0</v>
      </c>
      <c r="BB12" s="322">
        <f>Kader!FU127</f>
        <v>0</v>
      </c>
      <c r="BC12" s="323">
        <f t="shared" si="2"/>
        <v>0</v>
      </c>
      <c r="BD12" s="324">
        <f>BC12/BC9</f>
        <v>0</v>
      </c>
    </row>
    <row r="13" spans="1:56" ht="12.75">
      <c r="A13" s="325" t="s">
        <v>261</v>
      </c>
      <c r="B13" s="322">
        <f>Kader!B56</f>
        <v>0</v>
      </c>
      <c r="C13" s="322">
        <f>Kader!I56</f>
        <v>0</v>
      </c>
      <c r="D13" s="322">
        <f>Kader!P56</f>
        <v>0</v>
      </c>
      <c r="E13" s="322">
        <f>Kader!W56</f>
        <v>0</v>
      </c>
      <c r="F13" s="322">
        <f>Kader!AD56</f>
        <v>0</v>
      </c>
      <c r="G13" s="322">
        <f>Kader!AK56</f>
        <v>0</v>
      </c>
      <c r="H13" s="322">
        <f>Kader!AR56</f>
        <v>0</v>
      </c>
      <c r="I13" s="322">
        <f>Kader!AY56</f>
        <v>0</v>
      </c>
      <c r="J13" s="322">
        <f>Kader!BF56</f>
        <v>0</v>
      </c>
      <c r="K13" s="322">
        <f>Kader!BM56</f>
        <v>0</v>
      </c>
      <c r="L13" s="322">
        <f>Kader!BT56</f>
        <v>0</v>
      </c>
      <c r="M13" s="322">
        <f>Kader!CA56</f>
        <v>0</v>
      </c>
      <c r="N13" s="322">
        <f>Kader!CH56</f>
        <v>0</v>
      </c>
      <c r="O13" s="322">
        <f>Kader!CO56</f>
        <v>0</v>
      </c>
      <c r="P13" s="322">
        <f>Kader!CV56</f>
        <v>0</v>
      </c>
      <c r="Q13" s="322">
        <f>Kader!DC56</f>
        <v>0</v>
      </c>
      <c r="R13" s="322">
        <f>Kader!DJ56</f>
        <v>0</v>
      </c>
      <c r="S13" s="322">
        <f>Kader!DQ56</f>
        <v>0</v>
      </c>
      <c r="T13" s="322">
        <f>Kader!DX56</f>
        <v>0</v>
      </c>
      <c r="U13" s="322">
        <f>Kader!EE56</f>
        <v>0</v>
      </c>
      <c r="V13" s="322">
        <f>Kader!EL56</f>
        <v>0</v>
      </c>
      <c r="W13" s="322">
        <f>Kader!ES56</f>
        <v>0</v>
      </c>
      <c r="X13" s="322">
        <f>Kader!EZ56</f>
        <v>0</v>
      </c>
      <c r="Y13" s="322">
        <f>Kader!FG56</f>
        <v>0</v>
      </c>
      <c r="Z13" s="322">
        <f>Kader!FN56</f>
        <v>0</v>
      </c>
      <c r="AA13" s="322">
        <f>Kader!FU56</f>
        <v>0</v>
      </c>
      <c r="AB13" s="322">
        <f>Kader!GB56</f>
        <v>0</v>
      </c>
      <c r="AC13" s="322">
        <f>Kader!B128</f>
        <v>0</v>
      </c>
      <c r="AD13" s="322">
        <f>Kader!I128</f>
        <v>0</v>
      </c>
      <c r="AE13" s="322">
        <f>Kader!P128</f>
        <v>0</v>
      </c>
      <c r="AF13" s="322">
        <f>Kader!W128</f>
        <v>0</v>
      </c>
      <c r="AG13" s="322">
        <f>Kader!AD128</f>
        <v>0</v>
      </c>
      <c r="AH13" s="322">
        <f>Kader!AK128</f>
        <v>0</v>
      </c>
      <c r="AI13" s="322">
        <f>Kader!AR128</f>
        <v>0</v>
      </c>
      <c r="AJ13" s="322">
        <f>Kader!AY128</f>
        <v>0</v>
      </c>
      <c r="AK13" s="322">
        <f>Kader!BF128</f>
        <v>0</v>
      </c>
      <c r="AL13" s="322">
        <f>Kader!BM128</f>
        <v>0</v>
      </c>
      <c r="AM13" s="322">
        <f>Kader!BT128</f>
        <v>0</v>
      </c>
      <c r="AN13" s="322">
        <f>Kader!CA128</f>
        <v>0</v>
      </c>
      <c r="AO13" s="322">
        <f>Kader!CH128</f>
        <v>0</v>
      </c>
      <c r="AP13" s="322">
        <f>Kader!CO128</f>
        <v>0</v>
      </c>
      <c r="AQ13" s="322">
        <f>Kader!CV128</f>
        <v>0</v>
      </c>
      <c r="AR13" s="322">
        <f>Kader!DC128</f>
        <v>0</v>
      </c>
      <c r="AS13" s="322">
        <f>Kader!DJ128</f>
        <v>0</v>
      </c>
      <c r="AT13" s="322">
        <f>Kader!DQ128</f>
        <v>0</v>
      </c>
      <c r="AU13" s="322">
        <f>Kader!DX128</f>
        <v>0</v>
      </c>
      <c r="AV13" s="322">
        <f>Kader!EE128</f>
        <v>0</v>
      </c>
      <c r="AW13" s="322">
        <f>Kader!EL128</f>
        <v>0</v>
      </c>
      <c r="AX13" s="322">
        <f>Kader!ES128</f>
        <v>0</v>
      </c>
      <c r="AY13" s="322">
        <f>Kader!EZ128</f>
        <v>0</v>
      </c>
      <c r="AZ13" s="322">
        <f>Kader!FG128</f>
        <v>0</v>
      </c>
      <c r="BA13" s="322">
        <f>Kader!FN128</f>
        <v>0</v>
      </c>
      <c r="BB13" s="322">
        <f>Kader!FU128</f>
        <v>0</v>
      </c>
      <c r="BC13" s="323">
        <f t="shared" si="2"/>
        <v>0</v>
      </c>
      <c r="BD13" s="324">
        <f>BC13/BC9</f>
        <v>0</v>
      </c>
    </row>
    <row r="14" spans="1:56" ht="12.75">
      <c r="A14" s="325" t="s">
        <v>2</v>
      </c>
      <c r="B14" s="322">
        <f>Kader!B57</f>
        <v>0</v>
      </c>
      <c r="C14" s="322">
        <f>Kader!I57</f>
        <v>0</v>
      </c>
      <c r="D14" s="322">
        <f>Kader!P57</f>
        <v>0</v>
      </c>
      <c r="E14" s="322">
        <f>Kader!W57</f>
        <v>0</v>
      </c>
      <c r="F14" s="322">
        <f>Kader!AD57</f>
        <v>0</v>
      </c>
      <c r="G14" s="322">
        <f>Kader!AK57</f>
        <v>0</v>
      </c>
      <c r="H14" s="322">
        <f>Kader!AR57</f>
        <v>0</v>
      </c>
      <c r="I14" s="322">
        <f>Kader!AY57</f>
        <v>0</v>
      </c>
      <c r="J14" s="322">
        <f>Kader!BF57</f>
        <v>0</v>
      </c>
      <c r="K14" s="322">
        <f>Kader!BM57</f>
        <v>0</v>
      </c>
      <c r="L14" s="322">
        <f>Kader!BT57</f>
        <v>0</v>
      </c>
      <c r="M14" s="322">
        <f>Kader!CA57</f>
        <v>0</v>
      </c>
      <c r="N14" s="322">
        <f>Kader!CH57</f>
        <v>0</v>
      </c>
      <c r="O14" s="322">
        <f>Kader!CO57</f>
        <v>0</v>
      </c>
      <c r="P14" s="322">
        <f>Kader!CV57</f>
        <v>0</v>
      </c>
      <c r="Q14" s="322">
        <f>Kader!DC57</f>
        <v>0</v>
      </c>
      <c r="R14" s="322">
        <f>Kader!DJ57</f>
        <v>0</v>
      </c>
      <c r="S14" s="322">
        <f>Kader!DQ57</f>
        <v>0</v>
      </c>
      <c r="T14" s="322">
        <f>Kader!DX57</f>
        <v>0</v>
      </c>
      <c r="U14" s="322">
        <f>Kader!EE57</f>
        <v>0</v>
      </c>
      <c r="V14" s="322">
        <f>Kader!EL57</f>
        <v>0</v>
      </c>
      <c r="W14" s="322">
        <f>Kader!ES57</f>
        <v>0</v>
      </c>
      <c r="X14" s="322">
        <f>Kader!EZ57</f>
        <v>0</v>
      </c>
      <c r="Y14" s="322">
        <f>Kader!FG57</f>
        <v>0</v>
      </c>
      <c r="Z14" s="322">
        <f>Kader!FN57</f>
        <v>0</v>
      </c>
      <c r="AA14" s="322">
        <f>Kader!FU57</f>
        <v>0</v>
      </c>
      <c r="AB14" s="322">
        <f>Kader!GB57</f>
        <v>0</v>
      </c>
      <c r="AC14" s="322">
        <f>Kader!B129</f>
        <v>0</v>
      </c>
      <c r="AD14" s="322">
        <f>Kader!I129</f>
        <v>0</v>
      </c>
      <c r="AE14" s="322">
        <f>Kader!P129</f>
        <v>0</v>
      </c>
      <c r="AF14" s="322">
        <f>Kader!W129</f>
        <v>0</v>
      </c>
      <c r="AG14" s="322">
        <f>Kader!AD129</f>
        <v>0</v>
      </c>
      <c r="AH14" s="322">
        <f>Kader!AK129</f>
        <v>0</v>
      </c>
      <c r="AI14" s="322">
        <f>Kader!AR129</f>
        <v>0</v>
      </c>
      <c r="AJ14" s="322">
        <f>Kader!AY129</f>
        <v>0</v>
      </c>
      <c r="AK14" s="322">
        <f>Kader!BF129</f>
        <v>0</v>
      </c>
      <c r="AL14" s="322">
        <f>Kader!BM129</f>
        <v>0</v>
      </c>
      <c r="AM14" s="322">
        <f>Kader!BT129</f>
        <v>0</v>
      </c>
      <c r="AN14" s="322">
        <f>Kader!CA129</f>
        <v>0</v>
      </c>
      <c r="AO14" s="322">
        <f>Kader!CH129</f>
        <v>0</v>
      </c>
      <c r="AP14" s="322">
        <f>Kader!CO129</f>
        <v>0</v>
      </c>
      <c r="AQ14" s="322">
        <f>Kader!CV129</f>
        <v>0</v>
      </c>
      <c r="AR14" s="322">
        <f>Kader!DC129</f>
        <v>0</v>
      </c>
      <c r="AS14" s="322">
        <f>Kader!DJ129</f>
        <v>0</v>
      </c>
      <c r="AT14" s="322">
        <f>Kader!DQ129</f>
        <v>0</v>
      </c>
      <c r="AU14" s="322">
        <f>Kader!DX129</f>
        <v>0</v>
      </c>
      <c r="AV14" s="322">
        <f>Kader!EE129</f>
        <v>0</v>
      </c>
      <c r="AW14" s="322">
        <f>Kader!EL129</f>
        <v>0</v>
      </c>
      <c r="AX14" s="322">
        <f>Kader!ES129</f>
        <v>0</v>
      </c>
      <c r="AY14" s="322">
        <f>Kader!EZ129</f>
        <v>0</v>
      </c>
      <c r="AZ14" s="322">
        <f>Kader!FG129</f>
        <v>0</v>
      </c>
      <c r="BA14" s="322">
        <f>Kader!FN129</f>
        <v>0</v>
      </c>
      <c r="BB14" s="322">
        <f>Kader!FU129</f>
        <v>0</v>
      </c>
      <c r="BC14" s="323">
        <f t="shared" si="2"/>
        <v>0</v>
      </c>
      <c r="BD14" s="324">
        <f>BC14/BC9</f>
        <v>0</v>
      </c>
    </row>
    <row r="15" spans="1:56" ht="12.75">
      <c r="A15" s="325" t="s">
        <v>104</v>
      </c>
      <c r="B15" s="322">
        <f>Kader!B58</f>
        <v>0</v>
      </c>
      <c r="C15" s="322">
        <f>Kader!I58</f>
        <v>0</v>
      </c>
      <c r="D15" s="322">
        <f>Kader!P58</f>
        <v>0</v>
      </c>
      <c r="E15" s="322">
        <f>Kader!W58</f>
        <v>0</v>
      </c>
      <c r="F15" s="322">
        <f>Kader!AD58</f>
        <v>0</v>
      </c>
      <c r="G15" s="322">
        <f>Kader!AK58</f>
        <v>0</v>
      </c>
      <c r="H15" s="322">
        <f>Kader!AR58</f>
        <v>0</v>
      </c>
      <c r="I15" s="322">
        <f>Kader!AY58</f>
        <v>0</v>
      </c>
      <c r="J15" s="322">
        <f>Kader!BF58</f>
        <v>0</v>
      </c>
      <c r="K15" s="322">
        <f>Kader!BM58</f>
        <v>0</v>
      </c>
      <c r="L15" s="322">
        <f>Kader!BT58</f>
        <v>0</v>
      </c>
      <c r="M15" s="322">
        <f>Kader!CA58</f>
        <v>0</v>
      </c>
      <c r="N15" s="322">
        <f>Kader!CH58</f>
        <v>0</v>
      </c>
      <c r="O15" s="322">
        <f>Kader!CO58</f>
        <v>0</v>
      </c>
      <c r="P15" s="322">
        <f>Kader!CV58</f>
        <v>0</v>
      </c>
      <c r="Q15" s="322">
        <f>Kader!DC58</f>
        <v>0</v>
      </c>
      <c r="R15" s="322">
        <f>Kader!DJ58</f>
        <v>0</v>
      </c>
      <c r="S15" s="322">
        <f>Kader!DQ58</f>
        <v>0</v>
      </c>
      <c r="T15" s="322">
        <f>Kader!DX58</f>
        <v>0</v>
      </c>
      <c r="U15" s="322">
        <f>Kader!EE58</f>
        <v>0</v>
      </c>
      <c r="V15" s="322">
        <f>Kader!EL58</f>
        <v>0</v>
      </c>
      <c r="W15" s="322">
        <f>Kader!ES58</f>
        <v>0</v>
      </c>
      <c r="X15" s="322">
        <f>Kader!EZ58</f>
        <v>0</v>
      </c>
      <c r="Y15" s="322">
        <f>Kader!FG58</f>
        <v>0</v>
      </c>
      <c r="Z15" s="322">
        <f>Kader!FN58</f>
        <v>0</v>
      </c>
      <c r="AA15" s="322">
        <f>Kader!FU58</f>
        <v>0</v>
      </c>
      <c r="AB15" s="322">
        <f>Kader!GB58</f>
        <v>0</v>
      </c>
      <c r="AC15" s="322">
        <f>Kader!B130</f>
        <v>0</v>
      </c>
      <c r="AD15" s="322">
        <f>Kader!I130</f>
        <v>0</v>
      </c>
      <c r="AE15" s="322">
        <f>Kader!P130</f>
        <v>0</v>
      </c>
      <c r="AF15" s="322">
        <f>Kader!W130</f>
        <v>0</v>
      </c>
      <c r="AG15" s="322">
        <f>Kader!AD130</f>
        <v>0</v>
      </c>
      <c r="AH15" s="322">
        <f>Kader!AK130</f>
        <v>0</v>
      </c>
      <c r="AI15" s="322">
        <f>Kader!AR130</f>
        <v>0</v>
      </c>
      <c r="AJ15" s="322">
        <f>Kader!AY130</f>
        <v>0</v>
      </c>
      <c r="AK15" s="322">
        <f>Kader!BF130</f>
        <v>0</v>
      </c>
      <c r="AL15" s="322">
        <f>Kader!BM130</f>
        <v>0</v>
      </c>
      <c r="AM15" s="322">
        <f>Kader!BT130</f>
        <v>0</v>
      </c>
      <c r="AN15" s="322">
        <f>Kader!CA130</f>
        <v>0</v>
      </c>
      <c r="AO15" s="322">
        <f>Kader!CH130</f>
        <v>0</v>
      </c>
      <c r="AP15" s="322">
        <f>Kader!CO130</f>
        <v>0</v>
      </c>
      <c r="AQ15" s="322">
        <f>Kader!CV130</f>
        <v>0</v>
      </c>
      <c r="AR15" s="322">
        <f>Kader!DC130</f>
        <v>0</v>
      </c>
      <c r="AS15" s="322">
        <f>Kader!DJ130</f>
        <v>0</v>
      </c>
      <c r="AT15" s="322">
        <f>Kader!DQ130</f>
        <v>0</v>
      </c>
      <c r="AU15" s="322">
        <f>Kader!DX130</f>
        <v>0</v>
      </c>
      <c r="AV15" s="322">
        <f>Kader!EE130</f>
        <v>0</v>
      </c>
      <c r="AW15" s="322">
        <f>Kader!EL130</f>
        <v>0</v>
      </c>
      <c r="AX15" s="322">
        <f>Kader!ES130</f>
        <v>0</v>
      </c>
      <c r="AY15" s="322">
        <f>Kader!EZ130</f>
        <v>0</v>
      </c>
      <c r="AZ15" s="322">
        <f>Kader!FG130</f>
        <v>0</v>
      </c>
      <c r="BA15" s="322">
        <f>Kader!FN130</f>
        <v>0</v>
      </c>
      <c r="BB15" s="322">
        <f>Kader!FU130</f>
        <v>0</v>
      </c>
      <c r="BC15" s="323">
        <f t="shared" si="2"/>
        <v>0</v>
      </c>
      <c r="BD15" s="324">
        <f>BC15/BC9</f>
        <v>0</v>
      </c>
    </row>
    <row r="16" spans="1:56" ht="12.75">
      <c r="A16" s="321" t="s">
        <v>283</v>
      </c>
      <c r="B16" s="322">
        <f>Kader!B59</f>
        <v>7.8</v>
      </c>
      <c r="C16" s="322">
        <f>Kader!I59</f>
        <v>0</v>
      </c>
      <c r="D16" s="322">
        <f>Kader!P59</f>
        <v>0</v>
      </c>
      <c r="E16" s="322">
        <f>Kader!W59</f>
        <v>0</v>
      </c>
      <c r="F16" s="322">
        <f>Kader!AD59</f>
        <v>0</v>
      </c>
      <c r="G16" s="322">
        <f>Kader!AK59</f>
        <v>0</v>
      </c>
      <c r="H16" s="322">
        <f>Kader!AR59</f>
        <v>0</v>
      </c>
      <c r="I16" s="322">
        <f>Kader!AY59</f>
        <v>0</v>
      </c>
      <c r="J16" s="322">
        <f>Kader!BF59</f>
        <v>0</v>
      </c>
      <c r="K16" s="322">
        <f>Kader!BM59</f>
        <v>0</v>
      </c>
      <c r="L16" s="322">
        <f>Kader!BT59</f>
        <v>0</v>
      </c>
      <c r="M16" s="322">
        <f>Kader!CA59</f>
        <v>0</v>
      </c>
      <c r="N16" s="322">
        <f>Kader!CH59</f>
        <v>0</v>
      </c>
      <c r="O16" s="322">
        <f>Kader!CO59</f>
        <v>0</v>
      </c>
      <c r="P16" s="322">
        <f>Kader!CV59</f>
        <v>0</v>
      </c>
      <c r="Q16" s="322">
        <f>Kader!DC59</f>
        <v>0</v>
      </c>
      <c r="R16" s="322">
        <f>Kader!DJ59</f>
        <v>0</v>
      </c>
      <c r="S16" s="322">
        <f>Kader!DQ59</f>
        <v>0</v>
      </c>
      <c r="T16" s="322">
        <f>Kader!DX59</f>
        <v>0</v>
      </c>
      <c r="U16" s="322">
        <f>Kader!EE59</f>
        <v>0</v>
      </c>
      <c r="V16" s="322">
        <f>Kader!EL59</f>
        <v>0</v>
      </c>
      <c r="W16" s="322">
        <f>Kader!ES59</f>
        <v>0</v>
      </c>
      <c r="X16" s="322">
        <f>Kader!EZ59</f>
        <v>0</v>
      </c>
      <c r="Y16" s="322">
        <f>Kader!FG59</f>
        <v>0</v>
      </c>
      <c r="Z16" s="322">
        <f>Kader!FN59</f>
        <v>0</v>
      </c>
      <c r="AA16" s="322">
        <f>Kader!FU59</f>
        <v>0</v>
      </c>
      <c r="AB16" s="322">
        <f>Kader!GB59</f>
        <v>0</v>
      </c>
      <c r="AC16" s="322">
        <f>Kader!B131</f>
        <v>0</v>
      </c>
      <c r="AD16" s="322">
        <f>Kader!I131</f>
        <v>0</v>
      </c>
      <c r="AE16" s="322">
        <f>Kader!P131</f>
        <v>0</v>
      </c>
      <c r="AF16" s="322">
        <f>Kader!W131</f>
        <v>0</v>
      </c>
      <c r="AG16" s="322">
        <f>Kader!AD131</f>
        <v>0</v>
      </c>
      <c r="AH16" s="322">
        <f>Kader!AK131</f>
        <v>0</v>
      </c>
      <c r="AI16" s="322">
        <f>Kader!AR131</f>
        <v>0</v>
      </c>
      <c r="AJ16" s="322">
        <f>Kader!AY131</f>
        <v>0</v>
      </c>
      <c r="AK16" s="322">
        <f>Kader!BF131</f>
        <v>0</v>
      </c>
      <c r="AL16" s="322">
        <f>Kader!BM131</f>
        <v>0</v>
      </c>
      <c r="AM16" s="322">
        <f>Kader!BT131</f>
        <v>0</v>
      </c>
      <c r="AN16" s="322">
        <f>Kader!CA131</f>
        <v>0</v>
      </c>
      <c r="AO16" s="322">
        <f>Kader!CH131</f>
        <v>0</v>
      </c>
      <c r="AP16" s="322">
        <f>Kader!CO131</f>
        <v>0</v>
      </c>
      <c r="AQ16" s="322">
        <f>Kader!CV131</f>
        <v>0</v>
      </c>
      <c r="AR16" s="322">
        <f>Kader!DC131</f>
        <v>0</v>
      </c>
      <c r="AS16" s="322">
        <f>Kader!DJ131</f>
        <v>0</v>
      </c>
      <c r="AT16" s="322">
        <f>Kader!DQ131</f>
        <v>0</v>
      </c>
      <c r="AU16" s="322">
        <f>Kader!DX131</f>
        <v>0</v>
      </c>
      <c r="AV16" s="322">
        <f>Kader!EE131</f>
        <v>0</v>
      </c>
      <c r="AW16" s="322">
        <f>Kader!EL131</f>
        <v>0</v>
      </c>
      <c r="AX16" s="322">
        <f>Kader!ES131</f>
        <v>0</v>
      </c>
      <c r="AY16" s="322">
        <f>Kader!EZ131</f>
        <v>0</v>
      </c>
      <c r="AZ16" s="322">
        <f>Kader!FG131</f>
        <v>0</v>
      </c>
      <c r="BA16" s="322">
        <f>Kader!FN131</f>
        <v>0</v>
      </c>
      <c r="BB16" s="322">
        <f>Kader!FU131</f>
        <v>0</v>
      </c>
      <c r="BC16" s="323">
        <f t="shared" si="2"/>
        <v>7.8</v>
      </c>
      <c r="BD16" s="324">
        <v>1</v>
      </c>
    </row>
    <row r="17" spans="1:56" ht="12.75">
      <c r="A17" s="325" t="s">
        <v>0</v>
      </c>
      <c r="B17" s="322">
        <f>Kader!B60</f>
        <v>7</v>
      </c>
      <c r="C17" s="322">
        <f>Kader!I60</f>
        <v>0</v>
      </c>
      <c r="D17" s="322">
        <f>Kader!P60</f>
        <v>0</v>
      </c>
      <c r="E17" s="322">
        <f>Kader!W60</f>
        <v>0</v>
      </c>
      <c r="F17" s="322">
        <f>Kader!AD60</f>
        <v>0</v>
      </c>
      <c r="G17" s="322">
        <f>Kader!AK60</f>
        <v>0</v>
      </c>
      <c r="H17" s="322">
        <f>Kader!AR60</f>
        <v>0</v>
      </c>
      <c r="I17" s="322">
        <f>Kader!AY60</f>
        <v>0</v>
      </c>
      <c r="J17" s="322">
        <f>Kader!BF60</f>
        <v>0</v>
      </c>
      <c r="K17" s="322">
        <f>Kader!BM60</f>
        <v>0</v>
      </c>
      <c r="L17" s="322">
        <f>Kader!BT60</f>
        <v>0</v>
      </c>
      <c r="M17" s="322">
        <f>Kader!CA60</f>
        <v>0</v>
      </c>
      <c r="N17" s="322">
        <f>Kader!CH60</f>
        <v>0</v>
      </c>
      <c r="O17" s="322">
        <f>Kader!CO60</f>
        <v>0</v>
      </c>
      <c r="P17" s="322">
        <f>Kader!CV60</f>
        <v>0</v>
      </c>
      <c r="Q17" s="322">
        <f>Kader!DC60</f>
        <v>0</v>
      </c>
      <c r="R17" s="322">
        <f>Kader!DJ60</f>
        <v>0</v>
      </c>
      <c r="S17" s="322">
        <f>Kader!DQ60</f>
        <v>0</v>
      </c>
      <c r="T17" s="322">
        <f>Kader!DX60</f>
        <v>0</v>
      </c>
      <c r="U17" s="322">
        <f>Kader!EE60</f>
        <v>0</v>
      </c>
      <c r="V17" s="322">
        <f>Kader!EL60</f>
        <v>0</v>
      </c>
      <c r="W17" s="322">
        <f>Kader!ES60</f>
        <v>0</v>
      </c>
      <c r="X17" s="322">
        <f>Kader!EZ60</f>
        <v>0</v>
      </c>
      <c r="Y17" s="322">
        <f>Kader!FG60</f>
        <v>0</v>
      </c>
      <c r="Z17" s="322">
        <f>Kader!FN60</f>
        <v>0</v>
      </c>
      <c r="AA17" s="322">
        <f>Kader!FU60</f>
        <v>0</v>
      </c>
      <c r="AB17" s="322">
        <f>Kader!GB60</f>
        <v>0</v>
      </c>
      <c r="AC17" s="322">
        <f>Kader!B132</f>
        <v>0</v>
      </c>
      <c r="AD17" s="322">
        <f>Kader!I132</f>
        <v>0</v>
      </c>
      <c r="AE17" s="322">
        <f>Kader!P132</f>
        <v>0</v>
      </c>
      <c r="AF17" s="322">
        <f>Kader!W132</f>
        <v>0</v>
      </c>
      <c r="AG17" s="322">
        <f>Kader!AD132</f>
        <v>0</v>
      </c>
      <c r="AH17" s="322">
        <f>Kader!AK132</f>
        <v>0</v>
      </c>
      <c r="AI17" s="322">
        <f>Kader!AR132</f>
        <v>0</v>
      </c>
      <c r="AJ17" s="322">
        <f>Kader!AY132</f>
        <v>0</v>
      </c>
      <c r="AK17" s="322">
        <f>Kader!BF132</f>
        <v>0</v>
      </c>
      <c r="AL17" s="322">
        <f>Kader!BM132</f>
        <v>0</v>
      </c>
      <c r="AM17" s="322">
        <f>Kader!BT132</f>
        <v>0</v>
      </c>
      <c r="AN17" s="322">
        <f>Kader!CA132</f>
        <v>0</v>
      </c>
      <c r="AO17" s="322">
        <f>Kader!CH132</f>
        <v>0</v>
      </c>
      <c r="AP17" s="322">
        <f>Kader!CO132</f>
        <v>0</v>
      </c>
      <c r="AQ17" s="322">
        <f>Kader!CV132</f>
        <v>0</v>
      </c>
      <c r="AR17" s="322">
        <f>Kader!DC132</f>
        <v>0</v>
      </c>
      <c r="AS17" s="322">
        <f>Kader!DJ132</f>
        <v>0</v>
      </c>
      <c r="AT17" s="322">
        <f>Kader!DQ132</f>
        <v>0</v>
      </c>
      <c r="AU17" s="322">
        <f>Kader!DX132</f>
        <v>0</v>
      </c>
      <c r="AV17" s="322">
        <f>Kader!EE132</f>
        <v>0</v>
      </c>
      <c r="AW17" s="322">
        <f>Kader!EL132</f>
        <v>0</v>
      </c>
      <c r="AX17" s="322">
        <f>Kader!ES132</f>
        <v>0</v>
      </c>
      <c r="AY17" s="322">
        <f>Kader!EZ132</f>
        <v>0</v>
      </c>
      <c r="AZ17" s="322">
        <f>Kader!FG132</f>
        <v>0</v>
      </c>
      <c r="BA17" s="322">
        <f>Kader!FN132</f>
        <v>0</v>
      </c>
      <c r="BB17" s="322">
        <f>Kader!FU132</f>
        <v>0</v>
      </c>
      <c r="BC17" s="323">
        <f t="shared" si="2"/>
        <v>7</v>
      </c>
      <c r="BD17" s="324">
        <f>BC17/BC16</f>
        <v>0.8974358974358975</v>
      </c>
    </row>
    <row r="18" spans="1:56" ht="12.75">
      <c r="A18" s="325" t="s">
        <v>1</v>
      </c>
      <c r="B18" s="322">
        <f>Kader!B61</f>
        <v>0.8</v>
      </c>
      <c r="C18" s="322">
        <f>Kader!I61</f>
        <v>0</v>
      </c>
      <c r="D18" s="322">
        <f>Kader!P61</f>
        <v>0</v>
      </c>
      <c r="E18" s="322">
        <f>Kader!W61</f>
        <v>0</v>
      </c>
      <c r="F18" s="322">
        <f>Kader!AD61</f>
        <v>0</v>
      </c>
      <c r="G18" s="322">
        <f>Kader!AK61</f>
        <v>0</v>
      </c>
      <c r="H18" s="322">
        <f>Kader!AR61</f>
        <v>0</v>
      </c>
      <c r="I18" s="322">
        <f>Kader!AY61</f>
        <v>0</v>
      </c>
      <c r="J18" s="322">
        <f>Kader!BF61</f>
        <v>0</v>
      </c>
      <c r="K18" s="322">
        <f>Kader!BM61</f>
        <v>0</v>
      </c>
      <c r="L18" s="322">
        <f>Kader!BT61</f>
        <v>0</v>
      </c>
      <c r="M18" s="322">
        <f>Kader!CA61</f>
        <v>0</v>
      </c>
      <c r="N18" s="322">
        <f>Kader!CH61</f>
        <v>0</v>
      </c>
      <c r="O18" s="322">
        <f>Kader!CO61</f>
        <v>0</v>
      </c>
      <c r="P18" s="322">
        <f>Kader!CV61</f>
        <v>0</v>
      </c>
      <c r="Q18" s="322">
        <f>Kader!DC61</f>
        <v>0</v>
      </c>
      <c r="R18" s="322">
        <f>Kader!DJ61</f>
        <v>0</v>
      </c>
      <c r="S18" s="322">
        <f>Kader!DQ61</f>
        <v>0</v>
      </c>
      <c r="T18" s="322">
        <f>Kader!DX61</f>
        <v>0</v>
      </c>
      <c r="U18" s="322">
        <f>Kader!EE61</f>
        <v>0</v>
      </c>
      <c r="V18" s="322">
        <f>Kader!EL61</f>
        <v>0</v>
      </c>
      <c r="W18" s="322">
        <f>Kader!ES61</f>
        <v>0</v>
      </c>
      <c r="X18" s="322">
        <f>Kader!EZ61</f>
        <v>0</v>
      </c>
      <c r="Y18" s="322">
        <f>Kader!FG61</f>
        <v>0</v>
      </c>
      <c r="Z18" s="322">
        <f>Kader!FN61</f>
        <v>0</v>
      </c>
      <c r="AA18" s="322">
        <f>Kader!FU61</f>
        <v>0</v>
      </c>
      <c r="AB18" s="322">
        <f>Kader!GB61</f>
        <v>0</v>
      </c>
      <c r="AC18" s="322">
        <f>Kader!B133</f>
        <v>0</v>
      </c>
      <c r="AD18" s="322">
        <f>Kader!I133</f>
        <v>0</v>
      </c>
      <c r="AE18" s="322">
        <f>Kader!P133</f>
        <v>0</v>
      </c>
      <c r="AF18" s="322">
        <f>Kader!W133</f>
        <v>0</v>
      </c>
      <c r="AG18" s="322">
        <f>Kader!AD133</f>
        <v>0</v>
      </c>
      <c r="AH18" s="322">
        <f>Kader!AK133</f>
        <v>0</v>
      </c>
      <c r="AI18" s="322">
        <f>Kader!AR133</f>
        <v>0</v>
      </c>
      <c r="AJ18" s="322">
        <f>Kader!AY133</f>
        <v>0</v>
      </c>
      <c r="AK18" s="322">
        <f>Kader!BF133</f>
        <v>0</v>
      </c>
      <c r="AL18" s="322">
        <f>Kader!BM133</f>
        <v>0</v>
      </c>
      <c r="AM18" s="322">
        <f>Kader!BT133</f>
        <v>0</v>
      </c>
      <c r="AN18" s="322">
        <f>Kader!CA133</f>
        <v>0</v>
      </c>
      <c r="AO18" s="322">
        <f>Kader!CH133</f>
        <v>0</v>
      </c>
      <c r="AP18" s="322">
        <f>Kader!CO133</f>
        <v>0</v>
      </c>
      <c r="AQ18" s="322">
        <f>Kader!CV133</f>
        <v>0</v>
      </c>
      <c r="AR18" s="322">
        <f>Kader!DC133</f>
        <v>0</v>
      </c>
      <c r="AS18" s="322">
        <f>Kader!DJ133</f>
        <v>0</v>
      </c>
      <c r="AT18" s="322">
        <f>Kader!DQ133</f>
        <v>0</v>
      </c>
      <c r="AU18" s="322">
        <f>Kader!DX133</f>
        <v>0</v>
      </c>
      <c r="AV18" s="322">
        <f>Kader!EE133</f>
        <v>0</v>
      </c>
      <c r="AW18" s="322">
        <f>Kader!EL133</f>
        <v>0</v>
      </c>
      <c r="AX18" s="322">
        <f>Kader!ES133</f>
        <v>0</v>
      </c>
      <c r="AY18" s="322">
        <f>Kader!EZ133</f>
        <v>0</v>
      </c>
      <c r="AZ18" s="322">
        <f>Kader!FG133</f>
        <v>0</v>
      </c>
      <c r="BA18" s="322">
        <f>Kader!FN133</f>
        <v>0</v>
      </c>
      <c r="BB18" s="322">
        <f>Kader!FU133</f>
        <v>0</v>
      </c>
      <c r="BC18" s="323">
        <f t="shared" si="2"/>
        <v>0.8</v>
      </c>
      <c r="BD18" s="324">
        <f>BC18/BC16</f>
        <v>0.10256410256410257</v>
      </c>
    </row>
    <row r="19" spans="1:56" ht="12.75">
      <c r="A19" s="325" t="s">
        <v>260</v>
      </c>
      <c r="B19" s="322">
        <f>Kader!B62</f>
        <v>0</v>
      </c>
      <c r="C19" s="322">
        <f>Kader!I62</f>
        <v>0</v>
      </c>
      <c r="D19" s="322">
        <f>Kader!P62</f>
        <v>0</v>
      </c>
      <c r="E19" s="322">
        <f>Kader!W62</f>
        <v>0</v>
      </c>
      <c r="F19" s="322">
        <f>Kader!AD62</f>
        <v>0</v>
      </c>
      <c r="G19" s="322">
        <f>Kader!AK62</f>
        <v>0</v>
      </c>
      <c r="H19" s="322">
        <f>Kader!AR62</f>
        <v>0</v>
      </c>
      <c r="I19" s="322">
        <f>Kader!AY62</f>
        <v>0</v>
      </c>
      <c r="J19" s="322">
        <f>Kader!BF62</f>
        <v>0</v>
      </c>
      <c r="K19" s="322">
        <f>Kader!BM62</f>
        <v>0</v>
      </c>
      <c r="L19" s="322">
        <f>Kader!BT62</f>
        <v>0</v>
      </c>
      <c r="M19" s="322">
        <f>Kader!CA62</f>
        <v>0</v>
      </c>
      <c r="N19" s="322">
        <f>Kader!CH62</f>
        <v>0</v>
      </c>
      <c r="O19" s="322">
        <f>Kader!CO62</f>
        <v>0</v>
      </c>
      <c r="P19" s="322">
        <f>Kader!CV62</f>
        <v>0</v>
      </c>
      <c r="Q19" s="322">
        <f>Kader!DC62</f>
        <v>0</v>
      </c>
      <c r="R19" s="322">
        <f>Kader!DJ62</f>
        <v>0</v>
      </c>
      <c r="S19" s="322">
        <f>Kader!DQ62</f>
        <v>0</v>
      </c>
      <c r="T19" s="322">
        <f>Kader!DX62</f>
        <v>0</v>
      </c>
      <c r="U19" s="322">
        <f>Kader!EE62</f>
        <v>0</v>
      </c>
      <c r="V19" s="322">
        <f>Kader!EL62</f>
        <v>0</v>
      </c>
      <c r="W19" s="322">
        <f>Kader!ES62</f>
        <v>0</v>
      </c>
      <c r="X19" s="322">
        <f>Kader!EZ62</f>
        <v>0</v>
      </c>
      <c r="Y19" s="322">
        <f>Kader!FG62</f>
        <v>0</v>
      </c>
      <c r="Z19" s="322">
        <f>Kader!FN62</f>
        <v>0</v>
      </c>
      <c r="AA19" s="322">
        <f>Kader!FU62</f>
        <v>0</v>
      </c>
      <c r="AB19" s="322">
        <f>Kader!GB62</f>
        <v>0</v>
      </c>
      <c r="AC19" s="322">
        <f>Kader!B134</f>
        <v>0</v>
      </c>
      <c r="AD19" s="322">
        <f>Kader!I134</f>
        <v>0</v>
      </c>
      <c r="AE19" s="322">
        <f>Kader!P134</f>
        <v>0</v>
      </c>
      <c r="AF19" s="322">
        <f>Kader!W134</f>
        <v>0</v>
      </c>
      <c r="AG19" s="322">
        <f>Kader!AD134</f>
        <v>0</v>
      </c>
      <c r="AH19" s="322">
        <f>Kader!AK134</f>
        <v>0</v>
      </c>
      <c r="AI19" s="322">
        <f>Kader!AR134</f>
        <v>0</v>
      </c>
      <c r="AJ19" s="322">
        <f>Kader!AY134</f>
        <v>0</v>
      </c>
      <c r="AK19" s="322">
        <f>Kader!BF134</f>
        <v>0</v>
      </c>
      <c r="AL19" s="322">
        <f>Kader!BM134</f>
        <v>0</v>
      </c>
      <c r="AM19" s="322">
        <f>Kader!BT134</f>
        <v>0</v>
      </c>
      <c r="AN19" s="322">
        <f>Kader!CA134</f>
        <v>0</v>
      </c>
      <c r="AO19" s="322">
        <f>Kader!CH134</f>
        <v>0</v>
      </c>
      <c r="AP19" s="322">
        <f>Kader!CO134</f>
        <v>0</v>
      </c>
      <c r="AQ19" s="322">
        <f>Kader!CV134</f>
        <v>0</v>
      </c>
      <c r="AR19" s="322">
        <f>Kader!DC134</f>
        <v>0</v>
      </c>
      <c r="AS19" s="322">
        <f>Kader!DJ134</f>
        <v>0</v>
      </c>
      <c r="AT19" s="322">
        <f>Kader!DQ134</f>
        <v>0</v>
      </c>
      <c r="AU19" s="322">
        <f>Kader!DX134</f>
        <v>0</v>
      </c>
      <c r="AV19" s="322">
        <f>Kader!EE134</f>
        <v>0</v>
      </c>
      <c r="AW19" s="322">
        <f>Kader!EL134</f>
        <v>0</v>
      </c>
      <c r="AX19" s="322">
        <f>Kader!ES134</f>
        <v>0</v>
      </c>
      <c r="AY19" s="322">
        <f>Kader!EZ134</f>
        <v>0</v>
      </c>
      <c r="AZ19" s="322">
        <f>Kader!FG134</f>
        <v>0</v>
      </c>
      <c r="BA19" s="322">
        <f>Kader!FN134</f>
        <v>0</v>
      </c>
      <c r="BB19" s="322">
        <f>Kader!FU134</f>
        <v>0</v>
      </c>
      <c r="BC19" s="323">
        <f t="shared" si="2"/>
        <v>0</v>
      </c>
      <c r="BD19" s="324">
        <f>BC19/BC16</f>
        <v>0</v>
      </c>
    </row>
    <row r="20" spans="1:56" ht="12.75">
      <c r="A20" s="325" t="s">
        <v>261</v>
      </c>
      <c r="B20" s="322">
        <f>Kader!B63</f>
        <v>0</v>
      </c>
      <c r="C20" s="322">
        <f>Kader!I63</f>
        <v>0</v>
      </c>
      <c r="D20" s="322">
        <f>Kader!P63</f>
        <v>0</v>
      </c>
      <c r="E20" s="322">
        <f>Kader!W63</f>
        <v>0</v>
      </c>
      <c r="F20" s="322">
        <f>Kader!AD63</f>
        <v>0</v>
      </c>
      <c r="G20" s="322">
        <f>Kader!AK63</f>
        <v>0</v>
      </c>
      <c r="H20" s="322">
        <f>Kader!AR63</f>
        <v>0</v>
      </c>
      <c r="I20" s="322">
        <f>Kader!AY63</f>
        <v>0</v>
      </c>
      <c r="J20" s="322">
        <f>Kader!BF63</f>
        <v>0</v>
      </c>
      <c r="K20" s="322">
        <f>Kader!BM63</f>
        <v>0</v>
      </c>
      <c r="L20" s="322">
        <f>Kader!BT63</f>
        <v>0</v>
      </c>
      <c r="M20" s="322">
        <f>Kader!CA63</f>
        <v>0</v>
      </c>
      <c r="N20" s="322">
        <f>Kader!CH63</f>
        <v>0</v>
      </c>
      <c r="O20" s="322">
        <f>Kader!CO63</f>
        <v>0</v>
      </c>
      <c r="P20" s="322">
        <f>Kader!CV63</f>
        <v>0</v>
      </c>
      <c r="Q20" s="322">
        <f>Kader!DC63</f>
        <v>0</v>
      </c>
      <c r="R20" s="322">
        <f>Kader!DJ63</f>
        <v>0</v>
      </c>
      <c r="S20" s="322">
        <f>Kader!DQ63</f>
        <v>0</v>
      </c>
      <c r="T20" s="322">
        <f>Kader!DX63</f>
        <v>0</v>
      </c>
      <c r="U20" s="322">
        <f>Kader!EE63</f>
        <v>0</v>
      </c>
      <c r="V20" s="322">
        <f>Kader!EL63</f>
        <v>0</v>
      </c>
      <c r="W20" s="322">
        <f>Kader!ES63</f>
        <v>0</v>
      </c>
      <c r="X20" s="322">
        <f>Kader!EZ63</f>
        <v>0</v>
      </c>
      <c r="Y20" s="322">
        <f>Kader!FG63</f>
        <v>0</v>
      </c>
      <c r="Z20" s="322">
        <f>Kader!FN63</f>
        <v>0</v>
      </c>
      <c r="AA20" s="322">
        <f>Kader!FU63</f>
        <v>0</v>
      </c>
      <c r="AB20" s="322">
        <f>Kader!GB63</f>
        <v>0</v>
      </c>
      <c r="AC20" s="322">
        <f>Kader!B135</f>
        <v>0</v>
      </c>
      <c r="AD20" s="322">
        <f>Kader!I135</f>
        <v>0</v>
      </c>
      <c r="AE20" s="322">
        <f>Kader!P135</f>
        <v>0</v>
      </c>
      <c r="AF20" s="322">
        <f>Kader!W135</f>
        <v>0</v>
      </c>
      <c r="AG20" s="322">
        <f>Kader!AD135</f>
        <v>0</v>
      </c>
      <c r="AH20" s="322">
        <f>Kader!AK135</f>
        <v>0</v>
      </c>
      <c r="AI20" s="322">
        <f>Kader!AR135</f>
        <v>0</v>
      </c>
      <c r="AJ20" s="322">
        <f>Kader!AY135</f>
        <v>0</v>
      </c>
      <c r="AK20" s="322">
        <f>Kader!BF135</f>
        <v>0</v>
      </c>
      <c r="AL20" s="322">
        <f>Kader!BM135</f>
        <v>0</v>
      </c>
      <c r="AM20" s="322">
        <f>Kader!BT135</f>
        <v>0</v>
      </c>
      <c r="AN20" s="322">
        <f>Kader!CA135</f>
        <v>0</v>
      </c>
      <c r="AO20" s="322">
        <f>Kader!CH135</f>
        <v>0</v>
      </c>
      <c r="AP20" s="322">
        <f>Kader!CO135</f>
        <v>0</v>
      </c>
      <c r="AQ20" s="322">
        <f>Kader!CV135</f>
        <v>0</v>
      </c>
      <c r="AR20" s="322">
        <f>Kader!DC135</f>
        <v>0</v>
      </c>
      <c r="AS20" s="322">
        <f>Kader!DJ135</f>
        <v>0</v>
      </c>
      <c r="AT20" s="322">
        <f>Kader!DQ135</f>
        <v>0</v>
      </c>
      <c r="AU20" s="322">
        <f>Kader!DX135</f>
        <v>0</v>
      </c>
      <c r="AV20" s="322">
        <f>Kader!EE135</f>
        <v>0</v>
      </c>
      <c r="AW20" s="322">
        <f>Kader!EL135</f>
        <v>0</v>
      </c>
      <c r="AX20" s="322">
        <f>Kader!ES135</f>
        <v>0</v>
      </c>
      <c r="AY20" s="322">
        <f>Kader!EZ135</f>
        <v>0</v>
      </c>
      <c r="AZ20" s="322">
        <f>Kader!FG135</f>
        <v>0</v>
      </c>
      <c r="BA20" s="322">
        <f>Kader!FN135</f>
        <v>0</v>
      </c>
      <c r="BB20" s="322">
        <f>Kader!FU135</f>
        <v>0</v>
      </c>
      <c r="BC20" s="323">
        <f t="shared" si="2"/>
        <v>0</v>
      </c>
      <c r="BD20" s="324">
        <f>BC20/BC16</f>
        <v>0</v>
      </c>
    </row>
    <row r="21" spans="1:56" ht="12.75">
      <c r="A21" s="325" t="s">
        <v>2</v>
      </c>
      <c r="B21" s="322">
        <f>Kader!B64</f>
        <v>0</v>
      </c>
      <c r="C21" s="322">
        <f>Kader!I64</f>
        <v>0</v>
      </c>
      <c r="D21" s="322">
        <f>Kader!P64</f>
        <v>0</v>
      </c>
      <c r="E21" s="322">
        <f>Kader!W64</f>
        <v>0</v>
      </c>
      <c r="F21" s="322">
        <f>Kader!AD64</f>
        <v>0</v>
      </c>
      <c r="G21" s="322">
        <f>Kader!AK64</f>
        <v>0</v>
      </c>
      <c r="H21" s="322">
        <f>Kader!AR64</f>
        <v>0</v>
      </c>
      <c r="I21" s="322">
        <f>Kader!AY64</f>
        <v>0</v>
      </c>
      <c r="J21" s="322">
        <f>Kader!BF64</f>
        <v>0</v>
      </c>
      <c r="K21" s="322">
        <f>Kader!BM64</f>
        <v>0</v>
      </c>
      <c r="L21" s="322">
        <f>Kader!BT64</f>
        <v>0</v>
      </c>
      <c r="M21" s="322">
        <f>Kader!CA64</f>
        <v>0</v>
      </c>
      <c r="N21" s="322">
        <f>Kader!CH64</f>
        <v>0</v>
      </c>
      <c r="O21" s="322">
        <f>Kader!CO64</f>
        <v>0</v>
      </c>
      <c r="P21" s="322">
        <f>Kader!CV64</f>
        <v>0</v>
      </c>
      <c r="Q21" s="322">
        <f>Kader!DC64</f>
        <v>0</v>
      </c>
      <c r="R21" s="322">
        <f>Kader!DJ64</f>
        <v>0</v>
      </c>
      <c r="S21" s="322">
        <f>Kader!DQ64</f>
        <v>0</v>
      </c>
      <c r="T21" s="322">
        <f>Kader!DX64</f>
        <v>0</v>
      </c>
      <c r="U21" s="322">
        <f>Kader!EE64</f>
        <v>0</v>
      </c>
      <c r="V21" s="322">
        <f>Kader!EL64</f>
        <v>0</v>
      </c>
      <c r="W21" s="322">
        <f>Kader!ES64</f>
        <v>0</v>
      </c>
      <c r="X21" s="322">
        <f>Kader!EZ64</f>
        <v>0</v>
      </c>
      <c r="Y21" s="322">
        <f>Kader!FG64</f>
        <v>0</v>
      </c>
      <c r="Z21" s="322">
        <f>Kader!FN64</f>
        <v>0</v>
      </c>
      <c r="AA21" s="322">
        <f>Kader!FU64</f>
        <v>0</v>
      </c>
      <c r="AB21" s="322">
        <f>Kader!GB64</f>
        <v>0</v>
      </c>
      <c r="AC21" s="322">
        <f>Kader!B136</f>
        <v>0</v>
      </c>
      <c r="AD21" s="322">
        <f>Kader!I136</f>
        <v>0</v>
      </c>
      <c r="AE21" s="322">
        <f>Kader!P136</f>
        <v>0</v>
      </c>
      <c r="AF21" s="322">
        <f>Kader!W136</f>
        <v>0</v>
      </c>
      <c r="AG21" s="322">
        <f>Kader!AD136</f>
        <v>0</v>
      </c>
      <c r="AH21" s="322">
        <f>Kader!AK136</f>
        <v>0</v>
      </c>
      <c r="AI21" s="322">
        <f>Kader!AR136</f>
        <v>0</v>
      </c>
      <c r="AJ21" s="322">
        <f>Kader!AY136</f>
        <v>0</v>
      </c>
      <c r="AK21" s="322">
        <f>Kader!BF136</f>
        <v>0</v>
      </c>
      <c r="AL21" s="322">
        <f>Kader!BM136</f>
        <v>0</v>
      </c>
      <c r="AM21" s="322">
        <f>Kader!BT136</f>
        <v>0</v>
      </c>
      <c r="AN21" s="322">
        <f>Kader!CA136</f>
        <v>0</v>
      </c>
      <c r="AO21" s="322">
        <f>Kader!CH136</f>
        <v>0</v>
      </c>
      <c r="AP21" s="322">
        <f>Kader!CO136</f>
        <v>0</v>
      </c>
      <c r="AQ21" s="322">
        <f>Kader!CV136</f>
        <v>0</v>
      </c>
      <c r="AR21" s="322">
        <f>Kader!DC136</f>
        <v>0</v>
      </c>
      <c r="AS21" s="322">
        <f>Kader!DJ136</f>
        <v>0</v>
      </c>
      <c r="AT21" s="322">
        <f>Kader!DQ136</f>
        <v>0</v>
      </c>
      <c r="AU21" s="322">
        <f>Kader!DX136</f>
        <v>0</v>
      </c>
      <c r="AV21" s="322">
        <f>Kader!EE136</f>
        <v>0</v>
      </c>
      <c r="AW21" s="322">
        <f>Kader!EL136</f>
        <v>0</v>
      </c>
      <c r="AX21" s="322">
        <f>Kader!ES136</f>
        <v>0</v>
      </c>
      <c r="AY21" s="322">
        <f>Kader!EZ136</f>
        <v>0</v>
      </c>
      <c r="AZ21" s="322">
        <f>Kader!FG136</f>
        <v>0</v>
      </c>
      <c r="BA21" s="322">
        <f>Kader!FN136</f>
        <v>0</v>
      </c>
      <c r="BB21" s="322">
        <f>Kader!FU136</f>
        <v>0</v>
      </c>
      <c r="BC21" s="323">
        <f t="shared" si="2"/>
        <v>0</v>
      </c>
      <c r="BD21" s="324">
        <f>BC21/BC16</f>
        <v>0</v>
      </c>
    </row>
    <row r="22" spans="1:56" ht="12.75">
      <c r="A22" s="325" t="s">
        <v>104</v>
      </c>
      <c r="B22" s="322">
        <f>Kader!B65</f>
        <v>0</v>
      </c>
      <c r="C22" s="322">
        <f>Kader!I65</f>
        <v>0</v>
      </c>
      <c r="D22" s="322">
        <f>Kader!P65</f>
        <v>0</v>
      </c>
      <c r="E22" s="322">
        <f>Kader!W65</f>
        <v>0</v>
      </c>
      <c r="F22" s="322">
        <f>Kader!AD65</f>
        <v>0</v>
      </c>
      <c r="G22" s="322">
        <f>Kader!AK65</f>
        <v>0</v>
      </c>
      <c r="H22" s="322">
        <f>Kader!AR65</f>
        <v>0</v>
      </c>
      <c r="I22" s="322">
        <f>Kader!AY65</f>
        <v>0</v>
      </c>
      <c r="J22" s="322">
        <f>Kader!BF65</f>
        <v>0</v>
      </c>
      <c r="K22" s="322">
        <f>Kader!BM65</f>
        <v>0</v>
      </c>
      <c r="L22" s="322">
        <f>Kader!BT65</f>
        <v>0</v>
      </c>
      <c r="M22" s="322">
        <f>Kader!CA65</f>
        <v>0</v>
      </c>
      <c r="N22" s="322">
        <f>Kader!CH65</f>
        <v>0</v>
      </c>
      <c r="O22" s="322">
        <f>Kader!CO65</f>
        <v>0</v>
      </c>
      <c r="P22" s="322">
        <f>Kader!CV65</f>
        <v>0</v>
      </c>
      <c r="Q22" s="322">
        <f>Kader!DC65</f>
        <v>0</v>
      </c>
      <c r="R22" s="322">
        <f>Kader!DJ65</f>
        <v>0</v>
      </c>
      <c r="S22" s="322">
        <f>Kader!DQ65</f>
        <v>0</v>
      </c>
      <c r="T22" s="322">
        <f>Kader!DX65</f>
        <v>0</v>
      </c>
      <c r="U22" s="322">
        <f>Kader!EE65</f>
        <v>0</v>
      </c>
      <c r="V22" s="322">
        <f>Kader!EL65</f>
        <v>0</v>
      </c>
      <c r="W22" s="322">
        <f>Kader!ES65</f>
        <v>0</v>
      </c>
      <c r="X22" s="322">
        <f>Kader!EZ65</f>
        <v>0</v>
      </c>
      <c r="Y22" s="322">
        <f>Kader!FG65</f>
        <v>0</v>
      </c>
      <c r="Z22" s="322">
        <f>Kader!FN65</f>
        <v>0</v>
      </c>
      <c r="AA22" s="322">
        <f>Kader!FU65</f>
        <v>0</v>
      </c>
      <c r="AB22" s="322">
        <f>Kader!GB65</f>
        <v>0</v>
      </c>
      <c r="AC22" s="322">
        <f>Kader!B137</f>
        <v>0</v>
      </c>
      <c r="AD22" s="322">
        <f>Kader!I137</f>
        <v>0</v>
      </c>
      <c r="AE22" s="322">
        <f>Kader!P137</f>
        <v>0</v>
      </c>
      <c r="AF22" s="322">
        <f>Kader!W137</f>
        <v>0</v>
      </c>
      <c r="AG22" s="322">
        <f>Kader!AD137</f>
        <v>0</v>
      </c>
      <c r="AH22" s="322">
        <f>Kader!AK137</f>
        <v>0</v>
      </c>
      <c r="AI22" s="322">
        <f>Kader!AR137</f>
        <v>0</v>
      </c>
      <c r="AJ22" s="322">
        <f>Kader!AY137</f>
        <v>0</v>
      </c>
      <c r="AK22" s="322">
        <f>Kader!BF137</f>
        <v>0</v>
      </c>
      <c r="AL22" s="322">
        <f>Kader!BM137</f>
        <v>0</v>
      </c>
      <c r="AM22" s="322">
        <f>Kader!BT137</f>
        <v>0</v>
      </c>
      <c r="AN22" s="322">
        <f>Kader!CA137</f>
        <v>0</v>
      </c>
      <c r="AO22" s="322">
        <f>Kader!CH137</f>
        <v>0</v>
      </c>
      <c r="AP22" s="322">
        <f>Kader!CO137</f>
        <v>0</v>
      </c>
      <c r="AQ22" s="322">
        <f>Kader!CV137</f>
        <v>0</v>
      </c>
      <c r="AR22" s="322">
        <f>Kader!DC137</f>
        <v>0</v>
      </c>
      <c r="AS22" s="322">
        <f>Kader!DJ137</f>
        <v>0</v>
      </c>
      <c r="AT22" s="322">
        <f>Kader!DQ137</f>
        <v>0</v>
      </c>
      <c r="AU22" s="322">
        <f>Kader!DX137</f>
        <v>0</v>
      </c>
      <c r="AV22" s="322">
        <f>Kader!EE137</f>
        <v>0</v>
      </c>
      <c r="AW22" s="322">
        <f>Kader!EL137</f>
        <v>0</v>
      </c>
      <c r="AX22" s="322">
        <f>Kader!ES137</f>
        <v>0</v>
      </c>
      <c r="AY22" s="322">
        <f>Kader!EZ137</f>
        <v>0</v>
      </c>
      <c r="AZ22" s="322">
        <f>Kader!FG137</f>
        <v>0</v>
      </c>
      <c r="BA22" s="322">
        <f>Kader!FN137</f>
        <v>0</v>
      </c>
      <c r="BB22" s="322">
        <f>Kader!FU137</f>
        <v>0</v>
      </c>
      <c r="BC22" s="323">
        <f t="shared" si="2"/>
        <v>0</v>
      </c>
      <c r="BD22" s="324">
        <f>BC22/BC16</f>
        <v>0</v>
      </c>
    </row>
    <row r="23" spans="2:56" ht="12.75">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D23" s="324"/>
    </row>
    <row r="24" spans="1:56" ht="12.75">
      <c r="A24" s="321" t="s">
        <v>284</v>
      </c>
      <c r="B24" s="322">
        <f>Kader!B66</f>
        <v>0</v>
      </c>
      <c r="C24" s="322">
        <f>Kader!I66</f>
        <v>0</v>
      </c>
      <c r="D24" s="322">
        <f>Kader!P66</f>
        <v>0</v>
      </c>
      <c r="E24" s="322">
        <f>Kader!W66</f>
        <v>0</v>
      </c>
      <c r="F24" s="322">
        <f>Kader!AD66</f>
        <v>0</v>
      </c>
      <c r="G24" s="322">
        <f>Kader!AK66</f>
        <v>0</v>
      </c>
      <c r="H24" s="322">
        <f>Kader!AR66</f>
        <v>0</v>
      </c>
      <c r="I24" s="322">
        <f>Kader!AY66</f>
        <v>0</v>
      </c>
      <c r="J24" s="322">
        <f>Kader!BF66</f>
        <v>0</v>
      </c>
      <c r="K24" s="322">
        <f>Kader!BM66</f>
        <v>0</v>
      </c>
      <c r="L24" s="322">
        <f>Kader!BT66</f>
        <v>0</v>
      </c>
      <c r="M24" s="322">
        <f>Kader!CA66</f>
        <v>0</v>
      </c>
      <c r="N24" s="322">
        <f>Kader!CH66</f>
        <v>0</v>
      </c>
      <c r="O24" s="322">
        <f>Kader!CO66</f>
        <v>0</v>
      </c>
      <c r="P24" s="322">
        <f>Kader!CV66</f>
        <v>0</v>
      </c>
      <c r="Q24" s="322">
        <f>Kader!DC66</f>
        <v>0</v>
      </c>
      <c r="R24" s="322">
        <f>Kader!DJ66</f>
        <v>0</v>
      </c>
      <c r="S24" s="322">
        <f>Kader!DQ66</f>
        <v>0</v>
      </c>
      <c r="T24" s="322">
        <f>Kader!DX66</f>
        <v>0</v>
      </c>
      <c r="U24" s="322">
        <f>Kader!EE66</f>
        <v>0</v>
      </c>
      <c r="V24" s="322">
        <f>Kader!EL66</f>
        <v>0</v>
      </c>
      <c r="W24" s="322">
        <f>Kader!ES66</f>
        <v>0</v>
      </c>
      <c r="X24" s="322">
        <f>Kader!EZ66</f>
        <v>0</v>
      </c>
      <c r="Y24" s="322">
        <f>Kader!FG66</f>
        <v>0</v>
      </c>
      <c r="Z24" s="322">
        <f>Kader!FN66</f>
        <v>0</v>
      </c>
      <c r="AA24" s="322">
        <f>Kader!FU66</f>
        <v>0</v>
      </c>
      <c r="AB24" s="322">
        <f>Kader!GB66</f>
        <v>0</v>
      </c>
      <c r="AC24" s="322">
        <f>Kader!B138</f>
        <v>0</v>
      </c>
      <c r="AD24" s="322">
        <f>Kader!I138</f>
        <v>0</v>
      </c>
      <c r="AE24" s="322">
        <f>Kader!P138</f>
        <v>0</v>
      </c>
      <c r="AF24" s="322">
        <f>Kader!W138</f>
        <v>0</v>
      </c>
      <c r="AG24" s="322">
        <f>Kader!AD138</f>
        <v>0</v>
      </c>
      <c r="AH24" s="322">
        <f>Kader!AK138</f>
        <v>0</v>
      </c>
      <c r="AI24" s="322">
        <f>Kader!AR138</f>
        <v>0</v>
      </c>
      <c r="AJ24" s="322">
        <f>Kader!AY138</f>
        <v>0</v>
      </c>
      <c r="AK24" s="322">
        <f>Kader!BF138</f>
        <v>0</v>
      </c>
      <c r="AL24" s="322">
        <f>Kader!BM138</f>
        <v>0</v>
      </c>
      <c r="AM24" s="322">
        <f>Kader!BT138</f>
        <v>0</v>
      </c>
      <c r="AN24" s="322">
        <f>Kader!CA138</f>
        <v>0</v>
      </c>
      <c r="AO24" s="322">
        <f>Kader!CH138</f>
        <v>0</v>
      </c>
      <c r="AP24" s="322">
        <f>Kader!CO138</f>
        <v>0</v>
      </c>
      <c r="AQ24" s="322">
        <f>Kader!CV138</f>
        <v>0</v>
      </c>
      <c r="AR24" s="322">
        <f>Kader!DC138</f>
        <v>0</v>
      </c>
      <c r="AS24" s="322">
        <f>Kader!DJ138</f>
        <v>0</v>
      </c>
      <c r="AT24" s="322">
        <f>Kader!DQ138</f>
        <v>0</v>
      </c>
      <c r="AU24" s="322">
        <f>Kader!DX138</f>
        <v>0</v>
      </c>
      <c r="AV24" s="322">
        <f>Kader!EE138</f>
        <v>0</v>
      </c>
      <c r="AW24" s="322">
        <f>Kader!EL138</f>
        <v>0</v>
      </c>
      <c r="AX24" s="322">
        <f>Kader!ES138</f>
        <v>0</v>
      </c>
      <c r="AY24" s="322">
        <f>Kader!EZ138</f>
        <v>0</v>
      </c>
      <c r="AZ24" s="322">
        <f>Kader!FG138</f>
        <v>0</v>
      </c>
      <c r="BA24" s="322">
        <f>Kader!FN138</f>
        <v>0</v>
      </c>
      <c r="BB24" s="322">
        <f>Kader!FU138</f>
        <v>0</v>
      </c>
      <c r="BC24" s="323">
        <f aca="true" t="shared" si="3" ref="BC24:BC33">SUM(B24:BB24)</f>
        <v>0</v>
      </c>
      <c r="BD24" s="324"/>
    </row>
    <row r="25" spans="1:56" ht="12.75">
      <c r="A25" s="325" t="s">
        <v>296</v>
      </c>
      <c r="B25" s="322">
        <f>Kader!B67</f>
        <v>30</v>
      </c>
      <c r="C25" s="322">
        <f>Kader!I67</f>
        <v>0</v>
      </c>
      <c r="D25" s="322">
        <f>Kader!P67</f>
        <v>0</v>
      </c>
      <c r="E25" s="322">
        <f>Kader!W67</f>
        <v>0</v>
      </c>
      <c r="F25" s="322">
        <f>Kader!AD67</f>
        <v>0</v>
      </c>
      <c r="G25" s="322">
        <f>Kader!AK67</f>
        <v>0</v>
      </c>
      <c r="H25" s="322">
        <f>Kader!AR67</f>
        <v>0</v>
      </c>
      <c r="I25" s="322">
        <f>Kader!AY67</f>
        <v>0</v>
      </c>
      <c r="J25" s="322">
        <f>Kader!BF67</f>
        <v>0</v>
      </c>
      <c r="K25" s="322">
        <f>Kader!BM67</f>
        <v>0</v>
      </c>
      <c r="L25" s="322">
        <f>Kader!BT67</f>
        <v>0</v>
      </c>
      <c r="M25" s="322">
        <f>Kader!CA67</f>
        <v>0</v>
      </c>
      <c r="N25" s="322">
        <f>Kader!CH67</f>
        <v>0</v>
      </c>
      <c r="O25" s="322">
        <f>Kader!CO67</f>
        <v>0</v>
      </c>
      <c r="P25" s="322">
        <f>Kader!CV67</f>
        <v>0</v>
      </c>
      <c r="Q25" s="322">
        <f>Kader!DC67</f>
        <v>0</v>
      </c>
      <c r="R25" s="322">
        <f>Kader!DJ67</f>
        <v>0</v>
      </c>
      <c r="S25" s="322">
        <f>Kader!DQ67</f>
        <v>0</v>
      </c>
      <c r="T25" s="322">
        <f>Kader!DX67</f>
        <v>0</v>
      </c>
      <c r="U25" s="322">
        <f>Kader!EE67</f>
        <v>0</v>
      </c>
      <c r="V25" s="322">
        <f>Kader!EL67</f>
        <v>0</v>
      </c>
      <c r="W25" s="322">
        <f>Kader!ES67</f>
        <v>0</v>
      </c>
      <c r="X25" s="322">
        <f>Kader!EZ67</f>
        <v>0</v>
      </c>
      <c r="Y25" s="322">
        <f>Kader!FG67</f>
        <v>0</v>
      </c>
      <c r="Z25" s="322">
        <f>Kader!FN67</f>
        <v>0</v>
      </c>
      <c r="AA25" s="322">
        <f>Kader!FU67</f>
        <v>0</v>
      </c>
      <c r="AB25" s="322">
        <f>Kader!GB67</f>
        <v>0</v>
      </c>
      <c r="AC25" s="322">
        <f>Kader!B139</f>
        <v>0</v>
      </c>
      <c r="AD25" s="322">
        <f>Kader!I139</f>
        <v>0</v>
      </c>
      <c r="AE25" s="322">
        <f>Kader!P139</f>
        <v>0</v>
      </c>
      <c r="AF25" s="322">
        <f>Kader!W139</f>
        <v>0</v>
      </c>
      <c r="AG25" s="322">
        <f>Kader!AD139</f>
        <v>0</v>
      </c>
      <c r="AH25" s="322">
        <f>Kader!AK139</f>
        <v>0</v>
      </c>
      <c r="AI25" s="322">
        <f>Kader!AR139</f>
        <v>0</v>
      </c>
      <c r="AJ25" s="322">
        <f>Kader!AY139</f>
        <v>0</v>
      </c>
      <c r="AK25" s="322">
        <f>Kader!BF139</f>
        <v>0</v>
      </c>
      <c r="AL25" s="322">
        <f>Kader!BM139</f>
        <v>0</v>
      </c>
      <c r="AM25" s="322">
        <f>Kader!BT139</f>
        <v>0</v>
      </c>
      <c r="AN25" s="322">
        <f>Kader!CA139</f>
        <v>0</v>
      </c>
      <c r="AO25" s="322">
        <f>Kader!CH139</f>
        <v>0</v>
      </c>
      <c r="AP25" s="322">
        <f>Kader!CO139</f>
        <v>0</v>
      </c>
      <c r="AQ25" s="322">
        <f>Kader!CV139</f>
        <v>0</v>
      </c>
      <c r="AR25" s="322">
        <f>Kader!DC139</f>
        <v>0</v>
      </c>
      <c r="AS25" s="322">
        <f>Kader!DJ139</f>
        <v>0</v>
      </c>
      <c r="AT25" s="322">
        <f>Kader!DQ139</f>
        <v>0</v>
      </c>
      <c r="AU25" s="322">
        <f>Kader!DX139</f>
        <v>0</v>
      </c>
      <c r="AV25" s="322">
        <f>Kader!EE139</f>
        <v>0</v>
      </c>
      <c r="AW25" s="322">
        <f>Kader!EL139</f>
        <v>0</v>
      </c>
      <c r="AX25" s="322">
        <f>Kader!ES139</f>
        <v>0</v>
      </c>
      <c r="AY25" s="322">
        <f>Kader!EZ139</f>
        <v>0</v>
      </c>
      <c r="AZ25" s="322">
        <f>Kader!FG139</f>
        <v>0</v>
      </c>
      <c r="BA25" s="322">
        <f>Kader!FN139</f>
        <v>0</v>
      </c>
      <c r="BB25" s="322">
        <f>Kader!FU139</f>
        <v>0</v>
      </c>
      <c r="BC25" s="323">
        <f t="shared" si="3"/>
        <v>30</v>
      </c>
      <c r="BD25" s="324"/>
    </row>
    <row r="26" spans="1:56" ht="12.75">
      <c r="A26" s="325" t="s">
        <v>297</v>
      </c>
      <c r="B26" s="322">
        <f>Kader!B68</f>
        <v>20</v>
      </c>
      <c r="C26" s="322">
        <f>Kader!I68</f>
        <v>0</v>
      </c>
      <c r="D26" s="322">
        <f>Kader!P68</f>
        <v>0</v>
      </c>
      <c r="E26" s="322">
        <f>Kader!W68</f>
        <v>0</v>
      </c>
      <c r="F26" s="322">
        <f>Kader!AD68</f>
        <v>0</v>
      </c>
      <c r="G26" s="322">
        <f>Kader!AK68</f>
        <v>0</v>
      </c>
      <c r="H26" s="322">
        <f>Kader!AR68</f>
        <v>0</v>
      </c>
      <c r="I26" s="322">
        <f>Kader!AY68</f>
        <v>0</v>
      </c>
      <c r="J26" s="322">
        <f>Kader!BF68</f>
        <v>0</v>
      </c>
      <c r="K26" s="322">
        <f>Kader!BM68</f>
        <v>0</v>
      </c>
      <c r="L26" s="322">
        <f>Kader!BT68</f>
        <v>0</v>
      </c>
      <c r="M26" s="322">
        <f>Kader!CA68</f>
        <v>0</v>
      </c>
      <c r="N26" s="322">
        <f>Kader!CH68</f>
        <v>0</v>
      </c>
      <c r="O26" s="322">
        <f>Kader!CO68</f>
        <v>0</v>
      </c>
      <c r="P26" s="322">
        <f>Kader!CV68</f>
        <v>0</v>
      </c>
      <c r="Q26" s="322">
        <f>Kader!DC68</f>
        <v>0</v>
      </c>
      <c r="R26" s="322">
        <f>Kader!DJ68</f>
        <v>0</v>
      </c>
      <c r="S26" s="322">
        <f>Kader!DQ68</f>
        <v>0</v>
      </c>
      <c r="T26" s="322">
        <f>Kader!DX68</f>
        <v>0</v>
      </c>
      <c r="U26" s="322">
        <f>Kader!EE68</f>
        <v>0</v>
      </c>
      <c r="V26" s="322">
        <f>Kader!EL68</f>
        <v>0</v>
      </c>
      <c r="W26" s="322">
        <f>Kader!ES68</f>
        <v>0</v>
      </c>
      <c r="X26" s="322">
        <f>Kader!EZ68</f>
        <v>0</v>
      </c>
      <c r="Y26" s="322">
        <f>Kader!FG68</f>
        <v>0</v>
      </c>
      <c r="Z26" s="322">
        <f>Kader!FN68</f>
        <v>0</v>
      </c>
      <c r="AA26" s="322">
        <f>Kader!FU68</f>
        <v>0</v>
      </c>
      <c r="AB26" s="322">
        <f>Kader!GB68</f>
        <v>0</v>
      </c>
      <c r="AC26" s="322">
        <f>Kader!B140</f>
        <v>0</v>
      </c>
      <c r="AD26" s="322">
        <f>Kader!I140</f>
        <v>0</v>
      </c>
      <c r="AE26" s="322">
        <f>Kader!P140</f>
        <v>0</v>
      </c>
      <c r="AF26" s="322">
        <f>Kader!W140</f>
        <v>0</v>
      </c>
      <c r="AG26" s="322">
        <f>Kader!AD140</f>
        <v>0</v>
      </c>
      <c r="AH26" s="322">
        <f>Kader!AK140</f>
        <v>0</v>
      </c>
      <c r="AI26" s="322">
        <f>Kader!AR140</f>
        <v>0</v>
      </c>
      <c r="AJ26" s="322">
        <f>Kader!AY140</f>
        <v>0</v>
      </c>
      <c r="AK26" s="322">
        <f>Kader!BF140</f>
        <v>0</v>
      </c>
      <c r="AL26" s="322">
        <f>Kader!BM140</f>
        <v>0</v>
      </c>
      <c r="AM26" s="322">
        <f>Kader!BT140</f>
        <v>0</v>
      </c>
      <c r="AN26" s="322">
        <f>Kader!CA140</f>
        <v>0</v>
      </c>
      <c r="AO26" s="322">
        <f>Kader!CH140</f>
        <v>0</v>
      </c>
      <c r="AP26" s="322">
        <f>Kader!CO140</f>
        <v>0</v>
      </c>
      <c r="AQ26" s="322">
        <f>Kader!CV140</f>
        <v>0</v>
      </c>
      <c r="AR26" s="322">
        <f>Kader!DC140</f>
        <v>0</v>
      </c>
      <c r="AS26" s="322">
        <f>Kader!DJ140</f>
        <v>0</v>
      </c>
      <c r="AT26" s="322">
        <f>Kader!DQ140</f>
        <v>0</v>
      </c>
      <c r="AU26" s="322">
        <f>Kader!DX140</f>
        <v>0</v>
      </c>
      <c r="AV26" s="322">
        <f>Kader!EE140</f>
        <v>0</v>
      </c>
      <c r="AW26" s="322">
        <f>Kader!EL140</f>
        <v>0</v>
      </c>
      <c r="AX26" s="322">
        <f>Kader!ES140</f>
        <v>0</v>
      </c>
      <c r="AY26" s="322">
        <f>Kader!EZ140</f>
        <v>0</v>
      </c>
      <c r="AZ26" s="322">
        <f>Kader!FG140</f>
        <v>0</v>
      </c>
      <c r="BA26" s="322">
        <f>Kader!FN140</f>
        <v>0</v>
      </c>
      <c r="BB26" s="322">
        <f>Kader!FU140</f>
        <v>0</v>
      </c>
      <c r="BC26" s="323">
        <f t="shared" si="3"/>
        <v>20</v>
      </c>
      <c r="BD26" s="324"/>
    </row>
    <row r="27" spans="1:56" ht="12.75">
      <c r="A27" s="325" t="s">
        <v>298</v>
      </c>
      <c r="B27" s="322">
        <f>Kader!B69</f>
        <v>0</v>
      </c>
      <c r="C27" s="322">
        <f>Kader!I69</f>
        <v>0</v>
      </c>
      <c r="D27" s="322">
        <f>Kader!P69</f>
        <v>0</v>
      </c>
      <c r="E27" s="322">
        <f>Kader!W69</f>
        <v>0</v>
      </c>
      <c r="F27" s="322">
        <f>Kader!AD69</f>
        <v>0</v>
      </c>
      <c r="G27" s="322">
        <f>Kader!AK69</f>
        <v>0</v>
      </c>
      <c r="H27" s="322">
        <f>Kader!AR69</f>
        <v>0</v>
      </c>
      <c r="I27" s="322">
        <f>Kader!AY69</f>
        <v>0</v>
      </c>
      <c r="J27" s="322">
        <f>Kader!BF69</f>
        <v>0</v>
      </c>
      <c r="K27" s="322">
        <f>Kader!BM69</f>
        <v>0</v>
      </c>
      <c r="L27" s="322">
        <f>Kader!BT69</f>
        <v>0</v>
      </c>
      <c r="M27" s="322">
        <f>Kader!CA69</f>
        <v>0</v>
      </c>
      <c r="N27" s="322">
        <f>Kader!CH69</f>
        <v>0</v>
      </c>
      <c r="O27" s="322">
        <f>Kader!CO69</f>
        <v>0</v>
      </c>
      <c r="P27" s="322">
        <f>Kader!CV69</f>
        <v>0</v>
      </c>
      <c r="Q27" s="322">
        <f>Kader!DC69</f>
        <v>0</v>
      </c>
      <c r="R27" s="322">
        <f>Kader!DJ69</f>
        <v>0</v>
      </c>
      <c r="S27" s="322">
        <f>Kader!DQ69</f>
        <v>0</v>
      </c>
      <c r="T27" s="322">
        <f>Kader!DX69</f>
        <v>0</v>
      </c>
      <c r="U27" s="322">
        <f>Kader!EE69</f>
        <v>0</v>
      </c>
      <c r="V27" s="322">
        <f>Kader!EL69</f>
        <v>0</v>
      </c>
      <c r="W27" s="322">
        <f>Kader!ES69</f>
        <v>0</v>
      </c>
      <c r="X27" s="322">
        <f>Kader!EZ69</f>
        <v>0</v>
      </c>
      <c r="Y27" s="322">
        <f>Kader!FG69</f>
        <v>0</v>
      </c>
      <c r="Z27" s="322">
        <f>Kader!FN69</f>
        <v>0</v>
      </c>
      <c r="AA27" s="322">
        <f>Kader!FU69</f>
        <v>0</v>
      </c>
      <c r="AB27" s="322">
        <f>Kader!GB69</f>
        <v>0</v>
      </c>
      <c r="AC27" s="322">
        <f>Kader!B141</f>
        <v>0</v>
      </c>
      <c r="AD27" s="322">
        <f>Kader!I141</f>
        <v>0</v>
      </c>
      <c r="AE27" s="322">
        <f>Kader!P141</f>
        <v>0</v>
      </c>
      <c r="AF27" s="322">
        <f>Kader!W141</f>
        <v>0</v>
      </c>
      <c r="AG27" s="322">
        <f>Kader!AD141</f>
        <v>0</v>
      </c>
      <c r="AH27" s="322">
        <f>Kader!AK141</f>
        <v>0</v>
      </c>
      <c r="AI27" s="322">
        <f>Kader!AR141</f>
        <v>0</v>
      </c>
      <c r="AJ27" s="322">
        <f>Kader!AY141</f>
        <v>0</v>
      </c>
      <c r="AK27" s="322">
        <f>Kader!BF141</f>
        <v>0</v>
      </c>
      <c r="AL27" s="322">
        <f>Kader!BM141</f>
        <v>0</v>
      </c>
      <c r="AM27" s="322">
        <f>Kader!BT141</f>
        <v>0</v>
      </c>
      <c r="AN27" s="322">
        <f>Kader!CA141</f>
        <v>0</v>
      </c>
      <c r="AO27" s="322">
        <f>Kader!CH141</f>
        <v>0</v>
      </c>
      <c r="AP27" s="322">
        <f>Kader!CO141</f>
        <v>0</v>
      </c>
      <c r="AQ27" s="322">
        <f>Kader!CV141</f>
        <v>0</v>
      </c>
      <c r="AR27" s="322">
        <f>Kader!DC141</f>
        <v>0</v>
      </c>
      <c r="AS27" s="322">
        <f>Kader!DJ141</f>
        <v>0</v>
      </c>
      <c r="AT27" s="322">
        <f>Kader!DQ141</f>
        <v>0</v>
      </c>
      <c r="AU27" s="322">
        <f>Kader!DX141</f>
        <v>0</v>
      </c>
      <c r="AV27" s="322">
        <f>Kader!EE141</f>
        <v>0</v>
      </c>
      <c r="AW27" s="322">
        <f>Kader!EL141</f>
        <v>0</v>
      </c>
      <c r="AX27" s="322">
        <f>Kader!ES141</f>
        <v>0</v>
      </c>
      <c r="AY27" s="322">
        <f>Kader!EZ141</f>
        <v>0</v>
      </c>
      <c r="AZ27" s="322">
        <f>Kader!FG141</f>
        <v>0</v>
      </c>
      <c r="BA27" s="322">
        <f>Kader!FN141</f>
        <v>0</v>
      </c>
      <c r="BB27" s="322">
        <f>Kader!FU141</f>
        <v>0</v>
      </c>
      <c r="BC27" s="323">
        <f t="shared" si="3"/>
        <v>0</v>
      </c>
      <c r="BD27" s="324"/>
    </row>
    <row r="28" spans="1:56" ht="12.75">
      <c r="A28" s="325" t="s">
        <v>299</v>
      </c>
      <c r="B28" s="322">
        <f>Kader!B70</f>
        <v>0</v>
      </c>
      <c r="C28" s="322">
        <f>Kader!I70</f>
        <v>0</v>
      </c>
      <c r="D28" s="322">
        <f>Kader!P70</f>
        <v>0</v>
      </c>
      <c r="E28" s="322">
        <f>Kader!W70</f>
        <v>0</v>
      </c>
      <c r="F28" s="322">
        <f>Kader!AD70</f>
        <v>0</v>
      </c>
      <c r="G28" s="322">
        <f>Kader!AK70</f>
        <v>0</v>
      </c>
      <c r="H28" s="322">
        <f>Kader!AR70</f>
        <v>0</v>
      </c>
      <c r="I28" s="322">
        <f>Kader!AY70</f>
        <v>0</v>
      </c>
      <c r="J28" s="322">
        <f>Kader!BF70</f>
        <v>0</v>
      </c>
      <c r="K28" s="322">
        <f>Kader!BM70</f>
        <v>0</v>
      </c>
      <c r="L28" s="322">
        <f>Kader!BT70</f>
        <v>0</v>
      </c>
      <c r="M28" s="322">
        <f>Kader!CA70</f>
        <v>0</v>
      </c>
      <c r="N28" s="322">
        <f>Kader!CH70</f>
        <v>0</v>
      </c>
      <c r="O28" s="322">
        <f>Kader!CO70</f>
        <v>0</v>
      </c>
      <c r="P28" s="322">
        <f>Kader!CV70</f>
        <v>0</v>
      </c>
      <c r="Q28" s="322">
        <f>Kader!DC70</f>
        <v>0</v>
      </c>
      <c r="R28" s="322">
        <f>Kader!DJ70</f>
        <v>0</v>
      </c>
      <c r="S28" s="322">
        <f>Kader!DQ70</f>
        <v>0</v>
      </c>
      <c r="T28" s="322">
        <f>Kader!DX70</f>
        <v>0</v>
      </c>
      <c r="U28" s="322">
        <f>Kader!EE70</f>
        <v>0</v>
      </c>
      <c r="V28" s="322">
        <f>Kader!EL70</f>
        <v>0</v>
      </c>
      <c r="W28" s="322">
        <f>Kader!ES70</f>
        <v>0</v>
      </c>
      <c r="X28" s="322">
        <f>Kader!EZ70</f>
        <v>0</v>
      </c>
      <c r="Y28" s="322">
        <f>Kader!FG70</f>
        <v>0</v>
      </c>
      <c r="Z28" s="322">
        <f>Kader!FN70</f>
        <v>0</v>
      </c>
      <c r="AA28" s="322">
        <f>Kader!FU70</f>
        <v>0</v>
      </c>
      <c r="AB28" s="322">
        <f>Kader!GB70</f>
        <v>0</v>
      </c>
      <c r="AC28" s="322">
        <f>Kader!B142</f>
        <v>0</v>
      </c>
      <c r="AD28" s="322">
        <f>Kader!I142</f>
        <v>0</v>
      </c>
      <c r="AE28" s="322">
        <f>Kader!P142</f>
        <v>0</v>
      </c>
      <c r="AF28" s="322">
        <f>Kader!W142</f>
        <v>0</v>
      </c>
      <c r="AG28" s="322">
        <f>Kader!AD142</f>
        <v>0</v>
      </c>
      <c r="AH28" s="322">
        <f>Kader!AK142</f>
        <v>0</v>
      </c>
      <c r="AI28" s="322">
        <f>Kader!AR142</f>
        <v>0</v>
      </c>
      <c r="AJ28" s="322">
        <f>Kader!AY142</f>
        <v>0</v>
      </c>
      <c r="AK28" s="322">
        <f>Kader!BF142</f>
        <v>0</v>
      </c>
      <c r="AL28" s="322">
        <f>Kader!BM142</f>
        <v>0</v>
      </c>
      <c r="AM28" s="322">
        <f>Kader!BT142</f>
        <v>0</v>
      </c>
      <c r="AN28" s="322">
        <f>Kader!CA142</f>
        <v>0</v>
      </c>
      <c r="AO28" s="322">
        <f>Kader!CH142</f>
        <v>0</v>
      </c>
      <c r="AP28" s="322">
        <f>Kader!CO142</f>
        <v>0</v>
      </c>
      <c r="AQ28" s="322">
        <f>Kader!CV142</f>
        <v>0</v>
      </c>
      <c r="AR28" s="322">
        <f>Kader!DC142</f>
        <v>0</v>
      </c>
      <c r="AS28" s="322">
        <f>Kader!DJ142</f>
        <v>0</v>
      </c>
      <c r="AT28" s="322">
        <f>Kader!DQ142</f>
        <v>0</v>
      </c>
      <c r="AU28" s="322">
        <f>Kader!DX142</f>
        <v>0</v>
      </c>
      <c r="AV28" s="322">
        <f>Kader!EE142</f>
        <v>0</v>
      </c>
      <c r="AW28" s="322">
        <f>Kader!EL142</f>
        <v>0</v>
      </c>
      <c r="AX28" s="322">
        <f>Kader!ES142</f>
        <v>0</v>
      </c>
      <c r="AY28" s="322">
        <f>Kader!EZ142</f>
        <v>0</v>
      </c>
      <c r="AZ28" s="322">
        <f>Kader!FG142</f>
        <v>0</v>
      </c>
      <c r="BA28" s="322">
        <f>Kader!FN142</f>
        <v>0</v>
      </c>
      <c r="BB28" s="322">
        <f>Kader!FU142</f>
        <v>0</v>
      </c>
      <c r="BC28" s="323">
        <f t="shared" si="3"/>
        <v>0</v>
      </c>
      <c r="BD28" s="324"/>
    </row>
    <row r="29" spans="1:56" ht="12.75">
      <c r="A29" s="325" t="s">
        <v>300</v>
      </c>
      <c r="B29" s="322">
        <f>Kader!B71</f>
        <v>37.4</v>
      </c>
      <c r="C29" s="322">
        <f>Kader!I71</f>
        <v>0</v>
      </c>
      <c r="D29" s="322">
        <f>Kader!P71</f>
        <v>0</v>
      </c>
      <c r="E29" s="322">
        <f>Kader!W71</f>
        <v>0</v>
      </c>
      <c r="F29" s="322">
        <f>Kader!AD71</f>
        <v>0</v>
      </c>
      <c r="G29" s="322">
        <f>Kader!AK71</f>
        <v>0</v>
      </c>
      <c r="H29" s="322">
        <f>Kader!AR71</f>
        <v>0</v>
      </c>
      <c r="I29" s="322">
        <f>Kader!AY71</f>
        <v>0</v>
      </c>
      <c r="J29" s="322">
        <f>Kader!BF71</f>
        <v>0</v>
      </c>
      <c r="K29" s="322">
        <f>Kader!BM71</f>
        <v>0</v>
      </c>
      <c r="L29" s="322">
        <f>Kader!BT71</f>
        <v>0</v>
      </c>
      <c r="M29" s="322">
        <f>Kader!CA71</f>
        <v>0</v>
      </c>
      <c r="N29" s="322">
        <f>Kader!CH71</f>
        <v>0</v>
      </c>
      <c r="O29" s="322">
        <f>Kader!CO71</f>
        <v>0</v>
      </c>
      <c r="P29" s="322">
        <f>Kader!CV71</f>
        <v>0</v>
      </c>
      <c r="Q29" s="322">
        <f>Kader!DC71</f>
        <v>0</v>
      </c>
      <c r="R29" s="322">
        <f>Kader!DJ71</f>
        <v>0</v>
      </c>
      <c r="S29" s="322">
        <f>Kader!DQ71</f>
        <v>0</v>
      </c>
      <c r="T29" s="322">
        <f>Kader!DX71</f>
        <v>0</v>
      </c>
      <c r="U29" s="322">
        <f>Kader!EE71</f>
        <v>0</v>
      </c>
      <c r="V29" s="322">
        <f>Kader!EL71</f>
        <v>0</v>
      </c>
      <c r="W29" s="322">
        <f>Kader!ES71</f>
        <v>0</v>
      </c>
      <c r="X29" s="322">
        <f>Kader!EZ71</f>
        <v>0</v>
      </c>
      <c r="Y29" s="322">
        <f>Kader!FG71</f>
        <v>0</v>
      </c>
      <c r="Z29" s="322">
        <f>Kader!FN71</f>
        <v>0</v>
      </c>
      <c r="AA29" s="322">
        <f>Kader!FU71</f>
        <v>0</v>
      </c>
      <c r="AB29" s="322">
        <f>Kader!GB71</f>
        <v>0</v>
      </c>
      <c r="AC29" s="322">
        <f>Kader!B143</f>
        <v>0</v>
      </c>
      <c r="AD29" s="322">
        <f>Kader!I143</f>
        <v>0</v>
      </c>
      <c r="AE29" s="322">
        <f>Kader!P143</f>
        <v>0</v>
      </c>
      <c r="AF29" s="322">
        <f>Kader!W143</f>
        <v>0</v>
      </c>
      <c r="AG29" s="322">
        <f>Kader!AD143</f>
        <v>0</v>
      </c>
      <c r="AH29" s="322">
        <f>Kader!AK143</f>
        <v>0</v>
      </c>
      <c r="AI29" s="322">
        <f>Kader!AR143</f>
        <v>0</v>
      </c>
      <c r="AJ29" s="322">
        <f>Kader!AY143</f>
        <v>0</v>
      </c>
      <c r="AK29" s="322">
        <f>Kader!BF143</f>
        <v>0</v>
      </c>
      <c r="AL29" s="322">
        <f>Kader!BM143</f>
        <v>0</v>
      </c>
      <c r="AM29" s="322">
        <f>Kader!BT143</f>
        <v>0</v>
      </c>
      <c r="AN29" s="322">
        <f>Kader!CA143</f>
        <v>0</v>
      </c>
      <c r="AO29" s="322">
        <f>Kader!CH143</f>
        <v>0</v>
      </c>
      <c r="AP29" s="322">
        <f>Kader!CO143</f>
        <v>0</v>
      </c>
      <c r="AQ29" s="322">
        <f>Kader!CV143</f>
        <v>0</v>
      </c>
      <c r="AR29" s="322">
        <f>Kader!DC143</f>
        <v>0</v>
      </c>
      <c r="AS29" s="322">
        <f>Kader!DJ143</f>
        <v>0</v>
      </c>
      <c r="AT29" s="322">
        <f>Kader!DQ143</f>
        <v>0</v>
      </c>
      <c r="AU29" s="322">
        <f>Kader!DX143</f>
        <v>0</v>
      </c>
      <c r="AV29" s="322">
        <f>Kader!EE143</f>
        <v>0</v>
      </c>
      <c r="AW29" s="322">
        <f>Kader!EL143</f>
        <v>0</v>
      </c>
      <c r="AX29" s="322">
        <f>Kader!ES143</f>
        <v>0</v>
      </c>
      <c r="AY29" s="322">
        <f>Kader!EZ143</f>
        <v>0</v>
      </c>
      <c r="AZ29" s="322">
        <f>Kader!FG143</f>
        <v>0</v>
      </c>
      <c r="BA29" s="322">
        <f>Kader!FN143</f>
        <v>0</v>
      </c>
      <c r="BB29" s="322">
        <f>Kader!FU143</f>
        <v>0</v>
      </c>
      <c r="BC29" s="323">
        <f t="shared" si="3"/>
        <v>37.4</v>
      </c>
      <c r="BD29" s="324"/>
    </row>
    <row r="30" spans="1:56" ht="12.75">
      <c r="A30" s="325" t="s">
        <v>301</v>
      </c>
      <c r="B30" s="322">
        <f>Kader!B72</f>
        <v>107.85</v>
      </c>
      <c r="C30" s="322">
        <f>Kader!I72</f>
        <v>0</v>
      </c>
      <c r="D30" s="322">
        <f>Kader!P72</f>
        <v>0</v>
      </c>
      <c r="E30" s="322">
        <f>Kader!W72</f>
        <v>0</v>
      </c>
      <c r="F30" s="322">
        <f>Kader!AD72</f>
        <v>0</v>
      </c>
      <c r="G30" s="322">
        <f>Kader!AK72</f>
        <v>0</v>
      </c>
      <c r="H30" s="322">
        <f>Kader!AR72</f>
        <v>0</v>
      </c>
      <c r="I30" s="322">
        <f>Kader!AY72</f>
        <v>0</v>
      </c>
      <c r="J30" s="322">
        <f>Kader!BF72</f>
        <v>0</v>
      </c>
      <c r="K30" s="322">
        <f>Kader!BM72</f>
        <v>0</v>
      </c>
      <c r="L30" s="322">
        <f>Kader!BT72</f>
        <v>0</v>
      </c>
      <c r="M30" s="322">
        <f>Kader!CA72</f>
        <v>0</v>
      </c>
      <c r="N30" s="322">
        <f>Kader!CH72</f>
        <v>0</v>
      </c>
      <c r="O30" s="322">
        <f>Kader!CO72</f>
        <v>0</v>
      </c>
      <c r="P30" s="322">
        <f>Kader!CV72</f>
        <v>0</v>
      </c>
      <c r="Q30" s="322">
        <f>Kader!DC72</f>
        <v>0</v>
      </c>
      <c r="R30" s="322">
        <f>Kader!DJ72</f>
        <v>0</v>
      </c>
      <c r="S30" s="322">
        <f>Kader!DQ72</f>
        <v>0</v>
      </c>
      <c r="T30" s="322">
        <f>Kader!DX72</f>
        <v>0</v>
      </c>
      <c r="U30" s="322">
        <f>Kader!EE72</f>
        <v>0</v>
      </c>
      <c r="V30" s="322">
        <f>Kader!EL72</f>
        <v>0</v>
      </c>
      <c r="W30" s="322">
        <f>Kader!ES72</f>
        <v>0</v>
      </c>
      <c r="X30" s="322">
        <f>Kader!EZ72</f>
        <v>0</v>
      </c>
      <c r="Y30" s="322">
        <f>Kader!FG72</f>
        <v>0</v>
      </c>
      <c r="Z30" s="322">
        <f>Kader!FN72</f>
        <v>0</v>
      </c>
      <c r="AA30" s="322">
        <f>Kader!FU72</f>
        <v>0</v>
      </c>
      <c r="AB30" s="322">
        <f>Kader!GB72</f>
        <v>0</v>
      </c>
      <c r="AC30" s="322">
        <f>Kader!B144</f>
        <v>0</v>
      </c>
      <c r="AD30" s="322">
        <f>Kader!I144</f>
        <v>0</v>
      </c>
      <c r="AE30" s="322">
        <f>Kader!P144</f>
        <v>0</v>
      </c>
      <c r="AF30" s="322">
        <f>Kader!W144</f>
        <v>0</v>
      </c>
      <c r="AG30" s="322">
        <f>Kader!AD144</f>
        <v>0</v>
      </c>
      <c r="AH30" s="322">
        <f>Kader!AK144</f>
        <v>0</v>
      </c>
      <c r="AI30" s="322">
        <f>Kader!AR144</f>
        <v>0</v>
      </c>
      <c r="AJ30" s="322">
        <f>Kader!AY144</f>
        <v>0</v>
      </c>
      <c r="AK30" s="322">
        <f>Kader!BF144</f>
        <v>0</v>
      </c>
      <c r="AL30" s="322">
        <f>Kader!BM144</f>
        <v>0</v>
      </c>
      <c r="AM30" s="322">
        <f>Kader!BT144</f>
        <v>0</v>
      </c>
      <c r="AN30" s="322">
        <f>Kader!CA144</f>
        <v>0</v>
      </c>
      <c r="AO30" s="322">
        <f>Kader!CH144</f>
        <v>0</v>
      </c>
      <c r="AP30" s="322">
        <f>Kader!CO144</f>
        <v>0</v>
      </c>
      <c r="AQ30" s="322">
        <f>Kader!CV144</f>
        <v>0</v>
      </c>
      <c r="AR30" s="322">
        <f>Kader!DC144</f>
        <v>0</v>
      </c>
      <c r="AS30" s="322">
        <f>Kader!DJ144</f>
        <v>0</v>
      </c>
      <c r="AT30" s="322">
        <f>Kader!DQ144</f>
        <v>0</v>
      </c>
      <c r="AU30" s="322">
        <f>Kader!DX144</f>
        <v>0</v>
      </c>
      <c r="AV30" s="322">
        <f>Kader!EE144</f>
        <v>0</v>
      </c>
      <c r="AW30" s="322">
        <f>Kader!EL144</f>
        <v>0</v>
      </c>
      <c r="AX30" s="322">
        <f>Kader!ES144</f>
        <v>0</v>
      </c>
      <c r="AY30" s="322">
        <f>Kader!EZ144</f>
        <v>0</v>
      </c>
      <c r="AZ30" s="322">
        <f>Kader!FG144</f>
        <v>0</v>
      </c>
      <c r="BA30" s="322">
        <f>Kader!FN144</f>
        <v>0</v>
      </c>
      <c r="BB30" s="322">
        <f>Kader!FU144</f>
        <v>0</v>
      </c>
      <c r="BC30" s="323">
        <f t="shared" si="3"/>
        <v>107.85</v>
      </c>
      <c r="BD30" s="324"/>
    </row>
    <row r="31" spans="1:56" ht="12.75">
      <c r="A31" s="325" t="s">
        <v>302</v>
      </c>
      <c r="B31" s="322">
        <f>Kader!B73</f>
        <v>38.6</v>
      </c>
      <c r="C31" s="322">
        <f>Kader!I73</f>
        <v>0</v>
      </c>
      <c r="D31" s="322">
        <f>Kader!P73</f>
        <v>0</v>
      </c>
      <c r="E31" s="322">
        <f>Kader!W73</f>
        <v>0</v>
      </c>
      <c r="F31" s="322">
        <f>Kader!AD73</f>
        <v>0</v>
      </c>
      <c r="G31" s="322">
        <f>Kader!AK73</f>
        <v>0</v>
      </c>
      <c r="H31" s="322">
        <f>Kader!AR73</f>
        <v>0</v>
      </c>
      <c r="I31" s="322">
        <f>Kader!AY73</f>
        <v>0</v>
      </c>
      <c r="J31" s="322">
        <f>Kader!BF73</f>
        <v>0</v>
      </c>
      <c r="K31" s="322">
        <f>Kader!BM73</f>
        <v>0</v>
      </c>
      <c r="L31" s="322">
        <f>Kader!BT73</f>
        <v>0</v>
      </c>
      <c r="M31" s="322">
        <f>Kader!CA73</f>
        <v>0</v>
      </c>
      <c r="N31" s="322">
        <f>Kader!CH73</f>
        <v>0</v>
      </c>
      <c r="O31" s="322">
        <f>Kader!CO73</f>
        <v>0</v>
      </c>
      <c r="P31" s="322">
        <f>Kader!CV73</f>
        <v>0</v>
      </c>
      <c r="Q31" s="322">
        <f>Kader!DC73</f>
        <v>0</v>
      </c>
      <c r="R31" s="322">
        <f>Kader!DJ73</f>
        <v>0</v>
      </c>
      <c r="S31" s="322">
        <f>Kader!DQ73</f>
        <v>0</v>
      </c>
      <c r="T31" s="322">
        <f>Kader!DX73</f>
        <v>0</v>
      </c>
      <c r="U31" s="322">
        <f>Kader!EE73</f>
        <v>0</v>
      </c>
      <c r="V31" s="322">
        <f>Kader!EL73</f>
        <v>0</v>
      </c>
      <c r="W31" s="322">
        <f>Kader!ES73</f>
        <v>0</v>
      </c>
      <c r="X31" s="322">
        <f>Kader!EZ73</f>
        <v>0</v>
      </c>
      <c r="Y31" s="322">
        <f>Kader!FG73</f>
        <v>0</v>
      </c>
      <c r="Z31" s="322">
        <f>Kader!FN73</f>
        <v>0</v>
      </c>
      <c r="AA31" s="322">
        <f>Kader!FU73</f>
        <v>0</v>
      </c>
      <c r="AB31" s="322">
        <f>Kader!GB73</f>
        <v>0</v>
      </c>
      <c r="AC31" s="322">
        <f>Kader!B145</f>
        <v>0</v>
      </c>
      <c r="AD31" s="322">
        <f>Kader!I145</f>
        <v>0</v>
      </c>
      <c r="AE31" s="322">
        <f>Kader!P145</f>
        <v>0</v>
      </c>
      <c r="AF31" s="322">
        <f>Kader!W145</f>
        <v>0</v>
      </c>
      <c r="AG31" s="322">
        <f>Kader!AD145</f>
        <v>0</v>
      </c>
      <c r="AH31" s="322">
        <f>Kader!AK145</f>
        <v>0</v>
      </c>
      <c r="AI31" s="322">
        <f>Kader!AR145</f>
        <v>0</v>
      </c>
      <c r="AJ31" s="322">
        <f>Kader!AY145</f>
        <v>0</v>
      </c>
      <c r="AK31" s="322">
        <f>Kader!BF145</f>
        <v>0</v>
      </c>
      <c r="AL31" s="322">
        <f>Kader!BM145</f>
        <v>0</v>
      </c>
      <c r="AM31" s="322">
        <f>Kader!BT145</f>
        <v>0</v>
      </c>
      <c r="AN31" s="322">
        <f>Kader!CA145</f>
        <v>0</v>
      </c>
      <c r="AO31" s="322">
        <f>Kader!CH145</f>
        <v>0</v>
      </c>
      <c r="AP31" s="322">
        <f>Kader!CO145</f>
        <v>0</v>
      </c>
      <c r="AQ31" s="322">
        <f>Kader!CV145</f>
        <v>0</v>
      </c>
      <c r="AR31" s="322">
        <f>Kader!DC145</f>
        <v>0</v>
      </c>
      <c r="AS31" s="322">
        <f>Kader!DJ145</f>
        <v>0</v>
      </c>
      <c r="AT31" s="322">
        <f>Kader!DQ145</f>
        <v>0</v>
      </c>
      <c r="AU31" s="322">
        <f>Kader!DX145</f>
        <v>0</v>
      </c>
      <c r="AV31" s="322">
        <f>Kader!EE145</f>
        <v>0</v>
      </c>
      <c r="AW31" s="322">
        <f>Kader!EL145</f>
        <v>0</v>
      </c>
      <c r="AX31" s="322">
        <f>Kader!ES145</f>
        <v>0</v>
      </c>
      <c r="AY31" s="322">
        <f>Kader!EZ145</f>
        <v>0</v>
      </c>
      <c r="AZ31" s="322">
        <f>Kader!FG145</f>
        <v>0</v>
      </c>
      <c r="BA31" s="322">
        <f>Kader!FN145</f>
        <v>0</v>
      </c>
      <c r="BB31" s="322">
        <f>Kader!FU145</f>
        <v>0</v>
      </c>
      <c r="BC31" s="323">
        <f t="shared" si="3"/>
        <v>38.6</v>
      </c>
      <c r="BD31" s="324"/>
    </row>
    <row r="32" spans="1:56" ht="12.75">
      <c r="A32" s="326" t="s">
        <v>303</v>
      </c>
      <c r="B32" s="322">
        <f>Kader!B74</f>
        <v>233.85</v>
      </c>
      <c r="C32" s="322">
        <f>Kader!I74</f>
        <v>0</v>
      </c>
      <c r="D32" s="322">
        <f>Kader!P74</f>
        <v>0</v>
      </c>
      <c r="E32" s="322">
        <f>Kader!W74</f>
        <v>0</v>
      </c>
      <c r="F32" s="322">
        <f>Kader!AD74</f>
        <v>0</v>
      </c>
      <c r="G32" s="322">
        <f>Kader!AK74</f>
        <v>0</v>
      </c>
      <c r="H32" s="322">
        <f>Kader!AR74</f>
        <v>0</v>
      </c>
      <c r="I32" s="322">
        <f>Kader!AY74</f>
        <v>0</v>
      </c>
      <c r="J32" s="322">
        <f>Kader!BF74</f>
        <v>0</v>
      </c>
      <c r="K32" s="322">
        <f>Kader!BM74</f>
        <v>0</v>
      </c>
      <c r="L32" s="322">
        <f>Kader!BT74</f>
        <v>0</v>
      </c>
      <c r="M32" s="322">
        <f>Kader!CA74</f>
        <v>0</v>
      </c>
      <c r="N32" s="322">
        <f>Kader!CH74</f>
        <v>0</v>
      </c>
      <c r="O32" s="322">
        <f>Kader!CO74</f>
        <v>0</v>
      </c>
      <c r="P32" s="322">
        <f>Kader!CV74</f>
        <v>0</v>
      </c>
      <c r="Q32" s="322">
        <f>Kader!DC74</f>
        <v>0</v>
      </c>
      <c r="R32" s="322">
        <f>Kader!DJ74</f>
        <v>0</v>
      </c>
      <c r="S32" s="322">
        <f>Kader!DQ74</f>
        <v>0</v>
      </c>
      <c r="T32" s="322">
        <f>Kader!DX74</f>
        <v>0</v>
      </c>
      <c r="U32" s="322">
        <f>Kader!EE74</f>
        <v>0</v>
      </c>
      <c r="V32" s="322">
        <f>Kader!EL74</f>
        <v>0</v>
      </c>
      <c r="W32" s="322">
        <f>Kader!ES74</f>
        <v>0</v>
      </c>
      <c r="X32" s="322">
        <f>Kader!EZ74</f>
        <v>0</v>
      </c>
      <c r="Y32" s="322">
        <f>Kader!FG74</f>
        <v>0</v>
      </c>
      <c r="Z32" s="322">
        <f>Kader!FN74</f>
        <v>0</v>
      </c>
      <c r="AA32" s="322">
        <f>Kader!FU74</f>
        <v>0</v>
      </c>
      <c r="AB32" s="322">
        <f>Kader!GB74</f>
        <v>0</v>
      </c>
      <c r="AC32" s="322">
        <f>Kader!B146</f>
        <v>0</v>
      </c>
      <c r="AD32" s="322">
        <f>Kader!I146</f>
        <v>0</v>
      </c>
      <c r="AE32" s="322">
        <f>Kader!P146</f>
        <v>0</v>
      </c>
      <c r="AF32" s="322">
        <f>Kader!W146</f>
        <v>0</v>
      </c>
      <c r="AG32" s="322">
        <f>Kader!AD146</f>
        <v>0</v>
      </c>
      <c r="AH32" s="322">
        <f>Kader!AK146</f>
        <v>0</v>
      </c>
      <c r="AI32" s="322">
        <f>Kader!AR146</f>
        <v>0</v>
      </c>
      <c r="AJ32" s="322">
        <f>Kader!AY146</f>
        <v>0</v>
      </c>
      <c r="AK32" s="322">
        <f>Kader!BF146</f>
        <v>0</v>
      </c>
      <c r="AL32" s="322">
        <f>Kader!BM146</f>
        <v>0</v>
      </c>
      <c r="AM32" s="322">
        <f>Kader!BT146</f>
        <v>0</v>
      </c>
      <c r="AN32" s="322">
        <f>Kader!CA146</f>
        <v>0</v>
      </c>
      <c r="AO32" s="322">
        <f>Kader!CH146</f>
        <v>0</v>
      </c>
      <c r="AP32" s="322">
        <f>Kader!CO146</f>
        <v>0</v>
      </c>
      <c r="AQ32" s="322">
        <f>Kader!CV146</f>
        <v>0</v>
      </c>
      <c r="AR32" s="322">
        <f>Kader!DC146</f>
        <v>0</v>
      </c>
      <c r="AS32" s="322">
        <f>Kader!DJ146</f>
        <v>0</v>
      </c>
      <c r="AT32" s="322">
        <f>Kader!DQ146</f>
        <v>0</v>
      </c>
      <c r="AU32" s="322">
        <f>Kader!DX146</f>
        <v>0</v>
      </c>
      <c r="AV32" s="322">
        <f>Kader!EE146</f>
        <v>0</v>
      </c>
      <c r="AW32" s="322">
        <f>Kader!EL146</f>
        <v>0</v>
      </c>
      <c r="AX32" s="322">
        <f>Kader!ES146</f>
        <v>0</v>
      </c>
      <c r="AY32" s="322">
        <f>Kader!EZ146</f>
        <v>0</v>
      </c>
      <c r="AZ32" s="322">
        <f>Kader!FG146</f>
        <v>0</v>
      </c>
      <c r="BA32" s="322">
        <f>Kader!FN146</f>
        <v>0</v>
      </c>
      <c r="BB32" s="322">
        <f>Kader!FU146</f>
        <v>0</v>
      </c>
      <c r="BC32" s="323">
        <f t="shared" si="3"/>
        <v>233.85</v>
      </c>
      <c r="BD32" s="324"/>
    </row>
    <row r="33" spans="1:55" ht="12.75">
      <c r="A33" s="326" t="s">
        <v>292</v>
      </c>
      <c r="B33" s="327">
        <f>Kader!B75</f>
        <v>4</v>
      </c>
      <c r="C33" s="327">
        <f>Kader!I75</f>
        <v>0</v>
      </c>
      <c r="D33" s="327">
        <f>Kader!P75</f>
        <v>0</v>
      </c>
      <c r="E33" s="327">
        <f>Kader!W75</f>
        <v>0</v>
      </c>
      <c r="F33" s="327">
        <f>Kader!AD75</f>
        <v>0</v>
      </c>
      <c r="G33" s="327">
        <f>Kader!AK75</f>
        <v>0</v>
      </c>
      <c r="H33" s="327">
        <f>Kader!AR75</f>
        <v>0</v>
      </c>
      <c r="I33" s="327">
        <f>Kader!AY75</f>
        <v>0</v>
      </c>
      <c r="J33" s="327">
        <f>Kader!BF75</f>
        <v>0</v>
      </c>
      <c r="K33" s="327">
        <f>Kader!BM75</f>
        <v>0</v>
      </c>
      <c r="L33" s="327">
        <f>Kader!BT75</f>
        <v>0</v>
      </c>
      <c r="M33" s="327">
        <f>Kader!CA75</f>
        <v>0</v>
      </c>
      <c r="N33" s="327">
        <f>Kader!CH75</f>
        <v>0</v>
      </c>
      <c r="O33" s="327">
        <f>Kader!CO75</f>
        <v>0</v>
      </c>
      <c r="P33" s="327">
        <f>Kader!CV75</f>
        <v>0</v>
      </c>
      <c r="Q33" s="327">
        <f>Kader!DC75</f>
        <v>0</v>
      </c>
      <c r="R33" s="327">
        <f>Kader!DJ75</f>
        <v>0</v>
      </c>
      <c r="S33" s="327">
        <f>Kader!DQ75</f>
        <v>0</v>
      </c>
      <c r="T33" s="327">
        <f>Kader!DX75</f>
        <v>0</v>
      </c>
      <c r="U33" s="327">
        <f>Kader!EE75</f>
        <v>0</v>
      </c>
      <c r="V33" s="327">
        <f>Kader!EL75</f>
        <v>0</v>
      </c>
      <c r="W33" s="327">
        <f>Kader!ES75</f>
        <v>0</v>
      </c>
      <c r="X33" s="327">
        <f>Kader!EZ75</f>
        <v>0</v>
      </c>
      <c r="Y33" s="327">
        <f>Kader!FG75</f>
        <v>0</v>
      </c>
      <c r="Z33" s="327">
        <f>Kader!FN75</f>
        <v>0</v>
      </c>
      <c r="AA33" s="327">
        <f>Kader!FU75</f>
        <v>0</v>
      </c>
      <c r="AB33" s="327">
        <f>Kader!GB75</f>
        <v>0</v>
      </c>
      <c r="AC33" s="327">
        <f>Kader!B147</f>
        <v>0</v>
      </c>
      <c r="AD33" s="327">
        <f>Kader!I147</f>
        <v>0</v>
      </c>
      <c r="AE33" s="327">
        <f>Kader!P147</f>
        <v>0</v>
      </c>
      <c r="AF33" s="327">
        <f>Kader!W147</f>
        <v>0</v>
      </c>
      <c r="AG33" s="327">
        <f>Kader!AD147</f>
        <v>0</v>
      </c>
      <c r="AH33" s="327">
        <f>Kader!AK147</f>
        <v>0</v>
      </c>
      <c r="AI33" s="327">
        <f>Kader!AR147</f>
        <v>0</v>
      </c>
      <c r="AJ33" s="327">
        <f>Kader!AY147</f>
        <v>0</v>
      </c>
      <c r="AK33" s="327">
        <f>Kader!BF147</f>
        <v>0</v>
      </c>
      <c r="AL33" s="327">
        <f>Kader!BM147</f>
        <v>0</v>
      </c>
      <c r="AM33" s="327">
        <f>Kader!BT147</f>
        <v>0</v>
      </c>
      <c r="AN33" s="327">
        <f>Kader!CA147</f>
        <v>0</v>
      </c>
      <c r="AO33" s="327">
        <f>Kader!CH147</f>
        <v>0</v>
      </c>
      <c r="AP33" s="327">
        <f>Kader!CO147</f>
        <v>0</v>
      </c>
      <c r="AQ33" s="327">
        <f>Kader!CV147</f>
        <v>0</v>
      </c>
      <c r="AR33" s="327">
        <f>Kader!DC147</f>
        <v>0</v>
      </c>
      <c r="AS33" s="327">
        <f>Kader!DJ147</f>
        <v>0</v>
      </c>
      <c r="AT33" s="327">
        <f>Kader!DQ147</f>
        <v>0</v>
      </c>
      <c r="AU33" s="327">
        <f>Kader!DX147</f>
        <v>0</v>
      </c>
      <c r="AV33" s="327">
        <f>Kader!EE147</f>
        <v>0</v>
      </c>
      <c r="AW33" s="327">
        <f>Kader!EL147</f>
        <v>0</v>
      </c>
      <c r="AX33" s="327">
        <f>Kader!ES147</f>
        <v>0</v>
      </c>
      <c r="AY33" s="327">
        <f>Kader!EZ147</f>
        <v>0</v>
      </c>
      <c r="AZ33" s="327">
        <f>Kader!FG147</f>
        <v>0</v>
      </c>
      <c r="BA33" s="327">
        <f>Kader!FN147</f>
        <v>0</v>
      </c>
      <c r="BB33" s="327">
        <f>Kader!FU147</f>
        <v>0</v>
      </c>
      <c r="BC33" s="328">
        <f t="shared" si="3"/>
        <v>4</v>
      </c>
    </row>
    <row r="34" spans="1:17" s="331" customFormat="1" ht="12.75">
      <c r="A34" s="329"/>
      <c r="B34" s="330"/>
      <c r="C34" s="330"/>
      <c r="D34" s="330"/>
      <c r="E34" s="330"/>
      <c r="F34" s="330"/>
      <c r="G34" s="330"/>
      <c r="H34" s="330"/>
      <c r="I34" s="330"/>
      <c r="J34" s="330"/>
      <c r="K34" s="330"/>
      <c r="L34" s="330"/>
      <c r="M34" s="330"/>
      <c r="N34" s="330"/>
      <c r="O34" s="330"/>
      <c r="P34" s="330"/>
      <c r="Q34" s="330"/>
    </row>
  </sheetData>
  <sheetProtection password="CA7F" sheet="1" objects="1" scenarios="1"/>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Roman,Standard"&amp;12&amp;A</oddHeader>
    <oddFooter>&amp;C&amp;"Times New Roman,Standard"&amp;12Seite &amp;P</oddFooter>
  </headerFooter>
  <drawing r:id="rId1"/>
</worksheet>
</file>

<file path=xl/worksheets/sheet2.xml><?xml version="1.0" encoding="utf-8"?>
<worksheet xmlns="http://schemas.openxmlformats.org/spreadsheetml/2006/main" xmlns:r="http://schemas.openxmlformats.org/officeDocument/2006/relationships">
  <dimension ref="A1:I132"/>
  <sheetViews>
    <sheetView zoomScalePageLayoutView="0" workbookViewId="0" topLeftCell="A1">
      <pane ySplit="7" topLeftCell="BM8" activePane="bottomLeft" state="frozen"/>
      <selection pane="topLeft" activeCell="D21" sqref="D21:G21"/>
      <selection pane="bottomLeft" activeCell="A2" sqref="A2"/>
    </sheetView>
  </sheetViews>
  <sheetFormatPr defaultColWidth="11.421875" defaultRowHeight="12.75"/>
  <cols>
    <col min="1" max="1" width="9.421875" style="0" customWidth="1"/>
    <col min="2" max="2" width="12.421875" style="0" customWidth="1"/>
    <col min="6" max="6" width="5.28125" style="1" customWidth="1"/>
  </cols>
  <sheetData>
    <row r="1" spans="1:6" ht="14.25">
      <c r="A1" s="2" t="s">
        <v>239</v>
      </c>
      <c r="E1" s="3"/>
      <c r="F1" s="4"/>
    </row>
    <row r="2" spans="1:6" ht="12.75">
      <c r="A2" s="5">
        <f ca="1">TODAY()</f>
        <v>44267</v>
      </c>
      <c r="B2" s="6"/>
      <c r="C2" s="6"/>
      <c r="D2" s="6"/>
      <c r="E2" s="6"/>
      <c r="F2" s="7"/>
    </row>
    <row r="3" spans="1:6" ht="12.75">
      <c r="A3" s="8"/>
      <c r="B3" s="9" t="s">
        <v>0</v>
      </c>
      <c r="C3" s="10" t="s">
        <v>1</v>
      </c>
      <c r="D3" s="11" t="s">
        <v>2</v>
      </c>
      <c r="E3" s="6"/>
      <c r="F3" s="7"/>
    </row>
    <row r="4" spans="1:6" ht="12.75">
      <c r="A4" s="8"/>
      <c r="B4" s="6"/>
      <c r="C4" s="6"/>
      <c r="D4" s="6"/>
      <c r="E4" s="6"/>
      <c r="F4" s="7"/>
    </row>
    <row r="5" spans="1:7" ht="12.75">
      <c r="A5" s="12"/>
      <c r="B5" s="13" t="s">
        <v>3</v>
      </c>
      <c r="C5" s="13" t="s">
        <v>4</v>
      </c>
      <c r="D5" s="13" t="s">
        <v>5</v>
      </c>
      <c r="E5" s="13" t="s">
        <v>6</v>
      </c>
      <c r="F5" s="14" t="s">
        <v>7</v>
      </c>
      <c r="G5" s="8"/>
    </row>
    <row r="6" spans="1:7" ht="12.75">
      <c r="A6" s="12"/>
      <c r="B6" s="16" t="s">
        <v>8</v>
      </c>
      <c r="C6" s="16" t="s">
        <v>8</v>
      </c>
      <c r="D6" s="17" t="s">
        <v>8</v>
      </c>
      <c r="E6" s="18"/>
      <c r="F6" s="19" t="s">
        <v>9</v>
      </c>
      <c r="G6" s="8"/>
    </row>
    <row r="7" spans="1:7" ht="12.75">
      <c r="A7" s="3"/>
      <c r="B7" s="20">
        <f>SUM(B9:B200)</f>
        <v>0</v>
      </c>
      <c r="C7" s="20">
        <f>SUM(C9:C200)</f>
        <v>0</v>
      </c>
      <c r="D7" s="20">
        <f>SUM(D9:D200)</f>
        <v>0</v>
      </c>
      <c r="E7" s="18"/>
      <c r="F7" s="21" t="s">
        <v>10</v>
      </c>
      <c r="G7" s="8" t="s">
        <v>17</v>
      </c>
    </row>
    <row r="8" spans="1:8" ht="12.75">
      <c r="A8" s="32" t="s">
        <v>18</v>
      </c>
      <c r="B8" s="24"/>
      <c r="C8" s="25"/>
      <c r="D8" s="25"/>
      <c r="E8" s="24"/>
      <c r="F8" s="26"/>
      <c r="G8" s="8"/>
      <c r="H8" s="27"/>
    </row>
    <row r="9" spans="1:6" ht="12.75">
      <c r="A9" s="381">
        <f>'Nov-Dez'!A9+61</f>
        <v>44197</v>
      </c>
      <c r="F9"/>
    </row>
    <row r="10" spans="1:6" ht="12.75">
      <c r="A10" s="381"/>
      <c r="F10"/>
    </row>
    <row r="11" spans="1:6" ht="12.75">
      <c r="A11" s="376">
        <f>'Nov-Dez'!A9+62</f>
        <v>44198</v>
      </c>
      <c r="F11"/>
    </row>
    <row r="12" spans="1:6" ht="12.75">
      <c r="A12" s="376"/>
      <c r="F12"/>
    </row>
    <row r="13" spans="1:6" ht="12.75">
      <c r="A13" s="376">
        <f>'Nov-Dez'!A9+63</f>
        <v>44199</v>
      </c>
      <c r="F13"/>
    </row>
    <row r="14" spans="1:6" ht="12.75">
      <c r="A14" s="376"/>
      <c r="F14"/>
    </row>
    <row r="15" spans="1:6" ht="12.75">
      <c r="A15" s="376">
        <f>'Nov-Dez'!A9+64</f>
        <v>44200</v>
      </c>
      <c r="F15"/>
    </row>
    <row r="16" spans="1:6" ht="12.75">
      <c r="A16" s="376"/>
      <c r="F16"/>
    </row>
    <row r="17" spans="1:6" ht="12.75" customHeight="1">
      <c r="A17" s="376">
        <f>'Nov-Dez'!A9+65</f>
        <v>44201</v>
      </c>
      <c r="F17"/>
    </row>
    <row r="18" spans="1:6" ht="12.75">
      <c r="A18" s="376"/>
      <c r="F18"/>
    </row>
    <row r="19" spans="1:6" ht="12.75">
      <c r="A19" s="376">
        <f>'Nov-Dez'!A9+66</f>
        <v>44202</v>
      </c>
      <c r="F19"/>
    </row>
    <row r="20" spans="1:6" ht="12.75">
      <c r="A20" s="376"/>
      <c r="F20"/>
    </row>
    <row r="21" spans="1:6" ht="12.75">
      <c r="A21" s="376">
        <f>'Nov-Dez'!A9+67</f>
        <v>44203</v>
      </c>
      <c r="F21"/>
    </row>
    <row r="22" spans="1:6" ht="12.75">
      <c r="A22" s="376"/>
      <c r="F22"/>
    </row>
    <row r="23" spans="1:6" ht="12.75">
      <c r="A23" s="376">
        <f>'Nov-Dez'!A9+68</f>
        <v>44204</v>
      </c>
      <c r="F23"/>
    </row>
    <row r="24" spans="1:6" ht="12.75">
      <c r="A24" s="376"/>
      <c r="F24"/>
    </row>
    <row r="25" spans="1:6" ht="12.75">
      <c r="A25" s="376">
        <f>'Nov-Dez'!A9+69</f>
        <v>44205</v>
      </c>
      <c r="F25"/>
    </row>
    <row r="26" spans="1:6" ht="12.75">
      <c r="A26" s="376"/>
      <c r="F26"/>
    </row>
    <row r="27" spans="1:6" ht="12.75">
      <c r="A27" s="376">
        <f>'Nov-Dez'!A9+70</f>
        <v>44206</v>
      </c>
      <c r="F27"/>
    </row>
    <row r="28" spans="1:6" ht="12.75">
      <c r="A28" s="376"/>
      <c r="F28"/>
    </row>
    <row r="29" spans="1:6" ht="12.75">
      <c r="A29" s="376">
        <f>'Nov-Dez'!A9+71</f>
        <v>44207</v>
      </c>
      <c r="F29"/>
    </row>
    <row r="30" spans="1:6" ht="12.75">
      <c r="A30" s="376"/>
      <c r="F30"/>
    </row>
    <row r="31" spans="1:6" ht="12.75" customHeight="1">
      <c r="A31" s="376">
        <f>'Nov-Dez'!A9+72</f>
        <v>44208</v>
      </c>
      <c r="F31"/>
    </row>
    <row r="32" spans="1:6" ht="12.75">
      <c r="A32" s="376"/>
      <c r="F32"/>
    </row>
    <row r="33" spans="1:6" ht="12.75">
      <c r="A33" s="376">
        <f>'Nov-Dez'!A9+73</f>
        <v>44209</v>
      </c>
      <c r="F33"/>
    </row>
    <row r="34" spans="1:6" ht="12.75">
      <c r="A34" s="376"/>
      <c r="F34"/>
    </row>
    <row r="35" spans="1:6" ht="12.75">
      <c r="A35" s="376">
        <f>'Nov-Dez'!A9+74</f>
        <v>44210</v>
      </c>
      <c r="F35"/>
    </row>
    <row r="36" spans="1:6" ht="12.75">
      <c r="A36" s="376"/>
      <c r="F36"/>
    </row>
    <row r="37" spans="1:6" ht="12.75">
      <c r="A37" s="376">
        <f>'Nov-Dez'!A9+75</f>
        <v>44211</v>
      </c>
      <c r="F37"/>
    </row>
    <row r="38" spans="1:6" ht="12.75">
      <c r="A38" s="376"/>
      <c r="F38"/>
    </row>
    <row r="39" spans="1:6" ht="12.75">
      <c r="A39" s="376">
        <f>'Nov-Dez'!A9+76</f>
        <v>44212</v>
      </c>
      <c r="F39"/>
    </row>
    <row r="40" spans="1:6" ht="12.75">
      <c r="A40" s="376"/>
      <c r="F40"/>
    </row>
    <row r="41" spans="1:6" ht="12.75">
      <c r="A41" s="376">
        <f>'Nov-Dez'!A9+77</f>
        <v>44213</v>
      </c>
      <c r="F41"/>
    </row>
    <row r="42" spans="1:6" ht="12.75">
      <c r="A42" s="376"/>
      <c r="F42"/>
    </row>
    <row r="43" spans="1:6" ht="12.75">
      <c r="A43" s="376">
        <f>'Nov-Dez'!A9+78</f>
        <v>44214</v>
      </c>
      <c r="F43"/>
    </row>
    <row r="44" spans="1:6" ht="12.75">
      <c r="A44" s="376"/>
      <c r="F44"/>
    </row>
    <row r="45" spans="1:6" ht="12.75" customHeight="1">
      <c r="A45" s="376">
        <f>'Nov-Dez'!A9+79</f>
        <v>44215</v>
      </c>
      <c r="F45"/>
    </row>
    <row r="46" spans="1:6" ht="12.75">
      <c r="A46" s="376"/>
      <c r="F46"/>
    </row>
    <row r="47" spans="1:6" ht="12.75">
      <c r="A47" s="376">
        <f>'Nov-Dez'!A9+80</f>
        <v>44216</v>
      </c>
      <c r="F47"/>
    </row>
    <row r="48" spans="1:6" ht="12.75">
      <c r="A48" s="376"/>
      <c r="F48"/>
    </row>
    <row r="49" spans="1:6" ht="12.75">
      <c r="A49" s="376">
        <f>'Nov-Dez'!A9+81</f>
        <v>44217</v>
      </c>
      <c r="F49"/>
    </row>
    <row r="50" spans="1:6" ht="12.75">
      <c r="A50" s="376"/>
      <c r="F50"/>
    </row>
    <row r="51" spans="1:6" ht="12.75">
      <c r="A51" s="376">
        <f>'Nov-Dez'!A9+82</f>
        <v>44218</v>
      </c>
      <c r="F51"/>
    </row>
    <row r="52" spans="1:6" ht="12.75">
      <c r="A52" s="376"/>
      <c r="F52"/>
    </row>
    <row r="53" spans="1:6" ht="12.75">
      <c r="A53" s="376">
        <f>'Nov-Dez'!A9+83</f>
        <v>44219</v>
      </c>
      <c r="F53"/>
    </row>
    <row r="54" spans="1:6" ht="12.75">
      <c r="A54" s="376"/>
      <c r="F54"/>
    </row>
    <row r="55" spans="1:6" ht="12.75">
      <c r="A55" s="376">
        <f>'Nov-Dez'!A9+84</f>
        <v>44220</v>
      </c>
      <c r="F55"/>
    </row>
    <row r="56" spans="1:6" ht="12.75">
      <c r="A56" s="376"/>
      <c r="F56"/>
    </row>
    <row r="57" spans="1:6" ht="12.75">
      <c r="A57" s="376">
        <f>'Nov-Dez'!A9+85</f>
        <v>44221</v>
      </c>
      <c r="F57"/>
    </row>
    <row r="58" spans="1:6" ht="12.75">
      <c r="A58" s="376"/>
      <c r="F58"/>
    </row>
    <row r="59" spans="1:6" ht="12.75" customHeight="1">
      <c r="A59" s="376">
        <f>'Nov-Dez'!A9+86</f>
        <v>44222</v>
      </c>
      <c r="F59"/>
    </row>
    <row r="60" spans="1:6" ht="12.75">
      <c r="A60" s="376"/>
      <c r="F60"/>
    </row>
    <row r="61" spans="1:6" ht="12.75">
      <c r="A61" s="376">
        <f>'Nov-Dez'!A9+87</f>
        <v>44223</v>
      </c>
      <c r="F61"/>
    </row>
    <row r="62" spans="1:6" ht="12.75">
      <c r="A62" s="376"/>
      <c r="F62"/>
    </row>
    <row r="63" spans="1:6" ht="12.75">
      <c r="A63" s="376">
        <f>'Nov-Dez'!A9+88</f>
        <v>44224</v>
      </c>
      <c r="F63"/>
    </row>
    <row r="64" spans="1:6" ht="12.75">
      <c r="A64" s="376"/>
      <c r="F64"/>
    </row>
    <row r="65" spans="1:6" ht="12.75">
      <c r="A65" s="376">
        <f>'Nov-Dez'!A9+89</f>
        <v>44225</v>
      </c>
      <c r="F65"/>
    </row>
    <row r="66" spans="1:6" ht="12.75">
      <c r="A66" s="376"/>
      <c r="F66"/>
    </row>
    <row r="67" spans="1:6" ht="12.75">
      <c r="A67" s="376">
        <f>'Nov-Dez'!A9+90</f>
        <v>44226</v>
      </c>
      <c r="F67"/>
    </row>
    <row r="68" spans="1:6" ht="12.75">
      <c r="A68" s="376"/>
      <c r="F68"/>
    </row>
    <row r="69" spans="1:6" ht="12.75">
      <c r="A69" s="375">
        <f>'Nov-Dez'!A9+91</f>
        <v>44227</v>
      </c>
      <c r="F69"/>
    </row>
    <row r="70" spans="1:6" ht="12.75">
      <c r="A70" s="375"/>
      <c r="F70"/>
    </row>
    <row r="71" spans="1:6" ht="12.75">
      <c r="A71" s="31"/>
      <c r="F71"/>
    </row>
    <row r="72" spans="1:6" ht="12.75">
      <c r="A72" s="23" t="s">
        <v>19</v>
      </c>
      <c r="F72"/>
    </row>
    <row r="73" spans="1:6" ht="12.75">
      <c r="A73" s="377">
        <f>'Nov-Dez'!A9+92</f>
        <v>44228</v>
      </c>
      <c r="F73"/>
    </row>
    <row r="74" spans="1:6" ht="12.75">
      <c r="A74" s="377"/>
      <c r="F74"/>
    </row>
    <row r="75" spans="1:6" ht="12.75">
      <c r="A75" s="376">
        <f>'Nov-Dez'!A9+93</f>
        <v>44229</v>
      </c>
      <c r="F75"/>
    </row>
    <row r="76" spans="1:6" ht="12.75">
      <c r="A76" s="376"/>
      <c r="F76"/>
    </row>
    <row r="77" spans="1:6" ht="12.75">
      <c r="A77" s="376">
        <f>'Nov-Dez'!A9+94</f>
        <v>44230</v>
      </c>
      <c r="F77"/>
    </row>
    <row r="78" spans="1:9" ht="12.75">
      <c r="A78" s="376"/>
      <c r="F78"/>
      <c r="I78" s="30"/>
    </row>
    <row r="79" spans="1:6" ht="12.75">
      <c r="A79" s="376">
        <f>'Nov-Dez'!A9+95</f>
        <v>44231</v>
      </c>
      <c r="F79"/>
    </row>
    <row r="80" spans="1:6" ht="12.75">
      <c r="A80" s="376"/>
      <c r="F80"/>
    </row>
    <row r="81" spans="1:6" ht="12.75">
      <c r="A81" s="376">
        <f>'Nov-Dez'!A9+96</f>
        <v>44232</v>
      </c>
      <c r="F81"/>
    </row>
    <row r="82" spans="1:6" ht="12.75">
      <c r="A82" s="376"/>
      <c r="F82"/>
    </row>
    <row r="83" spans="1:6" ht="12.75">
      <c r="A83" s="376">
        <f>'Nov-Dez'!A9+97</f>
        <v>44233</v>
      </c>
      <c r="F83"/>
    </row>
    <row r="84" spans="1:6" ht="12.75">
      <c r="A84" s="376"/>
      <c r="F84"/>
    </row>
    <row r="85" spans="1:6" ht="12.75">
      <c r="A85" s="376">
        <f>'Nov-Dez'!A9+98</f>
        <v>44234</v>
      </c>
      <c r="F85"/>
    </row>
    <row r="86" spans="1:6" ht="12.75">
      <c r="A86" s="376"/>
      <c r="F86"/>
    </row>
    <row r="87" spans="1:6" ht="12.75">
      <c r="A87" s="376">
        <f>'Nov-Dez'!A9+99</f>
        <v>44235</v>
      </c>
      <c r="F87"/>
    </row>
    <row r="88" spans="1:6" ht="12.75">
      <c r="A88" s="376"/>
      <c r="F88"/>
    </row>
    <row r="89" spans="1:6" ht="12.75">
      <c r="A89" s="376">
        <f>'Nov-Dez'!A9+100</f>
        <v>44236</v>
      </c>
      <c r="F89"/>
    </row>
    <row r="90" spans="1:6" ht="12.75">
      <c r="A90" s="376"/>
      <c r="F90"/>
    </row>
    <row r="91" spans="1:6" ht="12.75">
      <c r="A91" s="376">
        <f>'Nov-Dez'!A9+101</f>
        <v>44237</v>
      </c>
      <c r="F91"/>
    </row>
    <row r="92" spans="1:6" ht="12.75">
      <c r="A92" s="376"/>
      <c r="F92"/>
    </row>
    <row r="93" spans="1:6" ht="12.75">
      <c r="A93" s="376">
        <f>'Nov-Dez'!A9+102</f>
        <v>44238</v>
      </c>
      <c r="F93"/>
    </row>
    <row r="94" spans="1:6" ht="12.75">
      <c r="A94" s="376"/>
      <c r="F94"/>
    </row>
    <row r="95" spans="1:6" ht="12.75">
      <c r="A95" s="376">
        <f>'Nov-Dez'!A9+103</f>
        <v>44239</v>
      </c>
      <c r="F95"/>
    </row>
    <row r="96" spans="1:6" ht="12.75">
      <c r="A96" s="376"/>
      <c r="F96"/>
    </row>
    <row r="97" spans="1:6" ht="12.75">
      <c r="A97" s="376">
        <f>'Nov-Dez'!A9+104</f>
        <v>44240</v>
      </c>
      <c r="F97"/>
    </row>
    <row r="98" spans="1:6" ht="12.75">
      <c r="A98" s="376"/>
      <c r="F98"/>
    </row>
    <row r="99" spans="1:6" ht="12.75">
      <c r="A99" s="376">
        <f>'Nov-Dez'!A9+105</f>
        <v>44241</v>
      </c>
      <c r="F99"/>
    </row>
    <row r="100" spans="1:6" ht="12.75">
      <c r="A100" s="376"/>
      <c r="F100"/>
    </row>
    <row r="101" spans="1:6" ht="12.75">
      <c r="A101" s="376">
        <f>'Nov-Dez'!A9+106</f>
        <v>44242</v>
      </c>
      <c r="F101"/>
    </row>
    <row r="102" spans="1:6" ht="12.75">
      <c r="A102" s="376"/>
      <c r="F102"/>
    </row>
    <row r="103" spans="1:6" ht="12.75">
      <c r="A103" s="376">
        <f>'Nov-Dez'!A9+107</f>
        <v>44243</v>
      </c>
      <c r="F103"/>
    </row>
    <row r="104" spans="1:6" ht="12.75">
      <c r="A104" s="376"/>
      <c r="F104"/>
    </row>
    <row r="105" spans="1:6" ht="12.75">
      <c r="A105" s="376">
        <f>'Nov-Dez'!A9+108</f>
        <v>44244</v>
      </c>
      <c r="F105"/>
    </row>
    <row r="106" spans="1:6" ht="12.75">
      <c r="A106" s="376"/>
      <c r="F106"/>
    </row>
    <row r="107" spans="1:6" ht="12.75">
      <c r="A107" s="376">
        <f>'Nov-Dez'!A9+109</f>
        <v>44245</v>
      </c>
      <c r="F107"/>
    </row>
    <row r="108" spans="1:6" ht="12.75">
      <c r="A108" s="376"/>
      <c r="F108"/>
    </row>
    <row r="109" spans="1:6" ht="12.75">
      <c r="A109" s="376">
        <f>'Nov-Dez'!A9+110</f>
        <v>44246</v>
      </c>
      <c r="F109"/>
    </row>
    <row r="110" spans="1:6" ht="12.75">
      <c r="A110" s="376"/>
      <c r="F110"/>
    </row>
    <row r="111" spans="1:6" ht="12.75">
      <c r="A111" s="376">
        <f>'Nov-Dez'!A9+111</f>
        <v>44247</v>
      </c>
      <c r="F111"/>
    </row>
    <row r="112" spans="1:6" ht="12.75">
      <c r="A112" s="376"/>
      <c r="F112"/>
    </row>
    <row r="113" spans="1:6" ht="12.75">
      <c r="A113" s="376">
        <f>'Nov-Dez'!A9+112</f>
        <v>44248</v>
      </c>
      <c r="F113"/>
    </row>
    <row r="114" spans="1:6" ht="12.75">
      <c r="A114" s="376"/>
      <c r="F114"/>
    </row>
    <row r="115" spans="1:6" ht="12.75">
      <c r="A115" s="376">
        <f>'Nov-Dez'!A9+113</f>
        <v>44249</v>
      </c>
      <c r="F115"/>
    </row>
    <row r="116" spans="1:6" ht="12.75">
      <c r="A116" s="376"/>
      <c r="F116"/>
    </row>
    <row r="117" spans="1:6" ht="12.75">
      <c r="A117" s="376">
        <f>'Nov-Dez'!A9+114</f>
        <v>44250</v>
      </c>
      <c r="F117"/>
    </row>
    <row r="118" spans="1:6" ht="12.75">
      <c r="A118" s="376"/>
      <c r="F118"/>
    </row>
    <row r="119" spans="1:6" ht="12.75">
      <c r="A119" s="376">
        <f>'Nov-Dez'!A9+115</f>
        <v>44251</v>
      </c>
      <c r="F119"/>
    </row>
    <row r="120" spans="1:6" ht="12.75">
      <c r="A120" s="376"/>
      <c r="F120"/>
    </row>
    <row r="121" spans="1:6" ht="12.75">
      <c r="A121" s="376">
        <f>'Nov-Dez'!A9+116</f>
        <v>44252</v>
      </c>
      <c r="F121"/>
    </row>
    <row r="122" spans="1:6" ht="12.75">
      <c r="A122" s="376"/>
      <c r="F122"/>
    </row>
    <row r="123" spans="1:6" ht="12.75">
      <c r="A123" s="376">
        <f>'Nov-Dez'!A9+117</f>
        <v>44253</v>
      </c>
      <c r="F123"/>
    </row>
    <row r="124" spans="1:6" ht="12.75">
      <c r="A124" s="376"/>
      <c r="F124"/>
    </row>
    <row r="125" spans="1:6" ht="12.75">
      <c r="A125" s="376">
        <f>'Nov-Dez'!A9+118</f>
        <v>44254</v>
      </c>
      <c r="F125"/>
    </row>
    <row r="126" spans="1:6" ht="12.75">
      <c r="A126" s="376"/>
      <c r="F126"/>
    </row>
    <row r="127" spans="1:6" ht="12.75">
      <c r="A127" s="376">
        <f>'Nov-Dez'!A9+119</f>
        <v>44255</v>
      </c>
      <c r="F127"/>
    </row>
    <row r="128" spans="1:6" ht="12.75">
      <c r="A128" s="376"/>
      <c r="F128"/>
    </row>
    <row r="129" spans="1:6" ht="12.75">
      <c r="A129" s="380"/>
      <c r="F129"/>
    </row>
    <row r="130" spans="1:6" ht="12.75">
      <c r="A130" s="380"/>
      <c r="F130"/>
    </row>
    <row r="131" ht="12.75">
      <c r="F131" s="33"/>
    </row>
    <row r="132" ht="12.75">
      <c r="F132" s="33"/>
    </row>
  </sheetData>
  <sheetProtection selectLockedCells="1" selectUnlockedCells="1"/>
  <mergeCells count="60">
    <mergeCell ref="A29:A30"/>
    <mergeCell ref="A31:A32"/>
    <mergeCell ref="A9:A10"/>
    <mergeCell ref="A11:A12"/>
    <mergeCell ref="A13:A14"/>
    <mergeCell ref="A15:A16"/>
    <mergeCell ref="A17:A18"/>
    <mergeCell ref="A19:A20"/>
    <mergeCell ref="A21:A22"/>
    <mergeCell ref="A23:A24"/>
    <mergeCell ref="A25:A26"/>
    <mergeCell ref="A27:A28"/>
    <mergeCell ref="A53:A54"/>
    <mergeCell ref="A55:A56"/>
    <mergeCell ref="A33:A34"/>
    <mergeCell ref="A35:A36"/>
    <mergeCell ref="A37:A38"/>
    <mergeCell ref="A39:A40"/>
    <mergeCell ref="A41:A42"/>
    <mergeCell ref="A43:A44"/>
    <mergeCell ref="A45:A46"/>
    <mergeCell ref="A47:A48"/>
    <mergeCell ref="A49:A50"/>
    <mergeCell ref="A51:A52"/>
    <mergeCell ref="A79:A80"/>
    <mergeCell ref="A81:A82"/>
    <mergeCell ref="A57:A58"/>
    <mergeCell ref="A59:A60"/>
    <mergeCell ref="A61:A62"/>
    <mergeCell ref="A63:A64"/>
    <mergeCell ref="A65:A66"/>
    <mergeCell ref="A67:A68"/>
    <mergeCell ref="A69:A70"/>
    <mergeCell ref="A73:A74"/>
    <mergeCell ref="A75:A76"/>
    <mergeCell ref="A77:A78"/>
    <mergeCell ref="A103:A104"/>
    <mergeCell ref="A105:A106"/>
    <mergeCell ref="A83:A84"/>
    <mergeCell ref="A85:A86"/>
    <mergeCell ref="A87:A88"/>
    <mergeCell ref="A89:A90"/>
    <mergeCell ref="A91:A92"/>
    <mergeCell ref="A93:A94"/>
    <mergeCell ref="A95:A96"/>
    <mergeCell ref="A97:A98"/>
    <mergeCell ref="A99:A100"/>
    <mergeCell ref="A101:A102"/>
    <mergeCell ref="A115:A116"/>
    <mergeCell ref="A117:A118"/>
    <mergeCell ref="A119:A120"/>
    <mergeCell ref="A121:A122"/>
    <mergeCell ref="A107:A108"/>
    <mergeCell ref="A109:A110"/>
    <mergeCell ref="A111:A112"/>
    <mergeCell ref="A113:A114"/>
    <mergeCell ref="A123:A124"/>
    <mergeCell ref="A125:A126"/>
    <mergeCell ref="A127:A128"/>
    <mergeCell ref="A129:A130"/>
  </mergeCells>
  <conditionalFormatting sqref="A9 A11 A13 A15 A17 A19 A21 A23 A25 A27 A29 A31 A33 A35 A37 A39 A41 A43 A45 A47 A49 A51 A53 A55 A57 A59 A61 A63 A65 A67 A69 A71 A73:A130">
    <cfRule type="cellIs" priority="1" dxfId="3" operator="equal" stopIfTrue="1">
      <formula>1</formula>
    </cfRule>
    <cfRule type="cellIs" priority="2" dxfId="2" operator="equal" stopIfTrue="1">
      <formula>7</formula>
    </cfRule>
  </conditionalFormatting>
  <conditionalFormatting sqref="F131:F132">
    <cfRule type="cellIs" priority="3" dxfId="14" operator="equal" stopIfTrue="1">
      <formula>":)"</formula>
    </cfRule>
    <cfRule type="cellIs" priority="4" dxfId="13" operator="equal" stopIfTrue="1">
      <formula>":("</formula>
    </cfRule>
    <cfRule type="cellIs" priority="5" dxfId="12" operator="equal" stopIfTrue="1">
      <formula>":l"</formula>
    </cfRule>
  </conditionalFormatting>
  <printOptions/>
  <pageMargins left="0.7875" right="0.7875" top="0.9840277777777777" bottom="0.9840277777777777" header="0.5118055555555555" footer="0.511805555555555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L135"/>
  <sheetViews>
    <sheetView zoomScalePageLayoutView="0" workbookViewId="0" topLeftCell="A1">
      <pane ySplit="7" topLeftCell="BM8" activePane="bottomLeft" state="frozen"/>
      <selection pane="topLeft" activeCell="D21" sqref="D21:G21"/>
      <selection pane="bottomLeft" activeCell="A2" sqref="A2"/>
    </sheetView>
  </sheetViews>
  <sheetFormatPr defaultColWidth="11.421875" defaultRowHeight="12.75"/>
  <cols>
    <col min="1" max="1" width="9.421875" style="0" customWidth="1"/>
    <col min="2" max="2" width="12.421875" style="0" customWidth="1"/>
    <col min="6" max="6" width="5.28125" style="1" customWidth="1"/>
    <col min="9" max="9" width="13.28125" style="0" customWidth="1"/>
  </cols>
  <sheetData>
    <row r="1" spans="1:6" ht="15" thickBot="1">
      <c r="A1" s="2" t="s">
        <v>20</v>
      </c>
      <c r="E1" s="3"/>
      <c r="F1" s="4"/>
    </row>
    <row r="2" spans="1:11" ht="13.5" thickBot="1">
      <c r="A2" s="34">
        <f ca="1">TODAY()</f>
        <v>44267</v>
      </c>
      <c r="B2" s="6"/>
      <c r="C2" s="6"/>
      <c r="D2" s="6"/>
      <c r="E2" s="6"/>
      <c r="F2" s="7"/>
      <c r="G2" s="35" t="s">
        <v>21</v>
      </c>
      <c r="H2" s="335">
        <f ca="1">(44437-TODAY())/7</f>
        <v>24.285714285714285</v>
      </c>
      <c r="I2" s="362" t="s">
        <v>329</v>
      </c>
      <c r="J2" s="334"/>
      <c r="K2" s="36"/>
    </row>
    <row r="3" spans="1:6" ht="12.75">
      <c r="A3" s="8"/>
      <c r="B3" s="9" t="s">
        <v>0</v>
      </c>
      <c r="C3" s="10" t="s">
        <v>1</v>
      </c>
      <c r="D3" s="11" t="s">
        <v>2</v>
      </c>
      <c r="E3" s="6"/>
      <c r="F3" s="7"/>
    </row>
    <row r="4" spans="1:11" ht="13.5" thickBot="1">
      <c r="A4" s="8"/>
      <c r="B4" s="6"/>
      <c r="C4" s="6"/>
      <c r="D4" s="6"/>
      <c r="E4" s="6"/>
      <c r="F4" s="7"/>
      <c r="K4" s="182"/>
    </row>
    <row r="5" spans="1:7" ht="12.75">
      <c r="A5" s="12"/>
      <c r="B5" s="13" t="s">
        <v>3</v>
      </c>
      <c r="C5" s="13" t="s">
        <v>4</v>
      </c>
      <c r="D5" s="13" t="s">
        <v>5</v>
      </c>
      <c r="E5" s="13" t="s">
        <v>6</v>
      </c>
      <c r="F5" s="14" t="s">
        <v>7</v>
      </c>
      <c r="G5" s="8"/>
    </row>
    <row r="6" spans="1:7" ht="12.75">
      <c r="A6" s="12"/>
      <c r="B6" s="16" t="s">
        <v>8</v>
      </c>
      <c r="C6" s="16" t="s">
        <v>8</v>
      </c>
      <c r="D6" s="17" t="s">
        <v>8</v>
      </c>
      <c r="E6" s="18"/>
      <c r="F6" s="19" t="s">
        <v>9</v>
      </c>
      <c r="G6" s="8"/>
    </row>
    <row r="7" spans="1:7" ht="12.75">
      <c r="A7" s="3"/>
      <c r="B7" s="20">
        <f>SUM(B9:B200)</f>
        <v>0</v>
      </c>
      <c r="C7" s="20">
        <f>SUM(C9:C200)</f>
        <v>0</v>
      </c>
      <c r="D7" s="20">
        <f>SUM(D9:D200)</f>
        <v>0</v>
      </c>
      <c r="E7" s="18"/>
      <c r="F7" s="21" t="s">
        <v>10</v>
      </c>
      <c r="G7" s="8" t="s">
        <v>17</v>
      </c>
    </row>
    <row r="8" spans="1:8" ht="12.75">
      <c r="A8" s="23" t="s">
        <v>22</v>
      </c>
      <c r="B8" s="24"/>
      <c r="C8" s="25"/>
      <c r="D8" s="25"/>
      <c r="E8" s="24"/>
      <c r="F8" s="26"/>
      <c r="G8" s="8"/>
      <c r="H8" s="27"/>
    </row>
    <row r="9" spans="1:6" ht="12.75">
      <c r="A9" s="381">
        <f>'Nov-Dez'!A9+120</f>
        <v>44256</v>
      </c>
      <c r="F9"/>
    </row>
    <row r="10" spans="1:6" ht="12.75">
      <c r="A10" s="381"/>
      <c r="F10"/>
    </row>
    <row r="11" spans="1:12" ht="12.75">
      <c r="A11" s="376">
        <f>'Nov-Dez'!A9+121</f>
        <v>44257</v>
      </c>
      <c r="F11"/>
      <c r="L11" s="37"/>
    </row>
    <row r="12" spans="1:6" ht="12.75">
      <c r="A12" s="376"/>
      <c r="F12"/>
    </row>
    <row r="13" spans="1:6" ht="12.75">
      <c r="A13" s="376">
        <f>'Nov-Dez'!A9+122</f>
        <v>44258</v>
      </c>
      <c r="F13"/>
    </row>
    <row r="14" spans="1:6" ht="12.75">
      <c r="A14" s="376"/>
      <c r="F14"/>
    </row>
    <row r="15" spans="1:6" ht="12.75">
      <c r="A15" s="376">
        <f>'Nov-Dez'!A9+123</f>
        <v>44259</v>
      </c>
      <c r="F15"/>
    </row>
    <row r="16" spans="1:6" ht="12.75">
      <c r="A16" s="376"/>
      <c r="F16"/>
    </row>
    <row r="17" spans="1:6" ht="12.75">
      <c r="A17" s="376">
        <f>'Nov-Dez'!A9+124</f>
        <v>44260</v>
      </c>
      <c r="F17"/>
    </row>
    <row r="18" spans="1:6" ht="12.75">
      <c r="A18" s="376"/>
      <c r="F18"/>
    </row>
    <row r="19" spans="1:6" ht="12.75">
      <c r="A19" s="376">
        <f>'Nov-Dez'!A9+125</f>
        <v>44261</v>
      </c>
      <c r="F19"/>
    </row>
    <row r="20" spans="1:6" ht="12.75">
      <c r="A20" s="376"/>
      <c r="F20"/>
    </row>
    <row r="21" spans="1:6" ht="12.75">
      <c r="A21" s="376">
        <f>'Nov-Dez'!A9+126</f>
        <v>44262</v>
      </c>
      <c r="F21"/>
    </row>
    <row r="22" spans="1:6" ht="12.75">
      <c r="A22" s="376"/>
      <c r="F22"/>
    </row>
    <row r="23" spans="1:6" ht="12.75">
      <c r="A23" s="376">
        <f>'Nov-Dez'!A9+127</f>
        <v>44263</v>
      </c>
      <c r="F23"/>
    </row>
    <row r="24" spans="1:6" ht="12.75">
      <c r="A24" s="376"/>
      <c r="F24"/>
    </row>
    <row r="25" spans="1:6" ht="12.75">
      <c r="A25" s="376">
        <f>'Nov-Dez'!A9+128</f>
        <v>44264</v>
      </c>
      <c r="F25"/>
    </row>
    <row r="26" spans="1:6" ht="12.75">
      <c r="A26" s="376"/>
      <c r="F26"/>
    </row>
    <row r="27" spans="1:6" ht="12.75">
      <c r="A27" s="376">
        <f>'Nov-Dez'!A9+129</f>
        <v>44265</v>
      </c>
      <c r="F27"/>
    </row>
    <row r="28" spans="1:6" ht="12.75">
      <c r="A28" s="376"/>
      <c r="F28"/>
    </row>
    <row r="29" spans="1:6" ht="12.75">
      <c r="A29" s="376">
        <f>'Nov-Dez'!A9+130</f>
        <v>44266</v>
      </c>
      <c r="F29"/>
    </row>
    <row r="30" spans="1:6" ht="12.75">
      <c r="A30" s="376"/>
      <c r="F30"/>
    </row>
    <row r="31" spans="1:6" ht="12.75">
      <c r="A31" s="376">
        <f>'Nov-Dez'!A9+131</f>
        <v>44267</v>
      </c>
      <c r="F31"/>
    </row>
    <row r="32" spans="1:6" ht="12.75">
      <c r="A32" s="376"/>
      <c r="F32"/>
    </row>
    <row r="33" spans="1:6" ht="12.75">
      <c r="A33" s="376">
        <f>'Nov-Dez'!A9+132</f>
        <v>44268</v>
      </c>
      <c r="F33"/>
    </row>
    <row r="34" spans="1:6" ht="12.75">
      <c r="A34" s="376"/>
      <c r="F34"/>
    </row>
    <row r="35" spans="1:6" ht="12.75">
      <c r="A35" s="376">
        <f>'Nov-Dez'!A9+133</f>
        <v>44269</v>
      </c>
      <c r="F35"/>
    </row>
    <row r="36" spans="1:6" ht="12.75">
      <c r="A36" s="376"/>
      <c r="F36"/>
    </row>
    <row r="37" spans="1:6" ht="12.75">
      <c r="A37" s="376">
        <f>'Nov-Dez'!A9+134</f>
        <v>44270</v>
      </c>
      <c r="F37"/>
    </row>
    <row r="38" spans="1:6" ht="12.75">
      <c r="A38" s="376"/>
      <c r="F38"/>
    </row>
    <row r="39" spans="1:6" ht="12.75">
      <c r="A39" s="376">
        <f>'Nov-Dez'!A9+135</f>
        <v>44271</v>
      </c>
      <c r="F39"/>
    </row>
    <row r="40" spans="1:6" ht="12.75">
      <c r="A40" s="376"/>
      <c r="F40"/>
    </row>
    <row r="41" spans="1:6" ht="12.75">
      <c r="A41" s="376">
        <f>'Nov-Dez'!A9+136</f>
        <v>44272</v>
      </c>
      <c r="F41"/>
    </row>
    <row r="42" spans="1:6" ht="12.75">
      <c r="A42" s="376"/>
      <c r="F42"/>
    </row>
    <row r="43" spans="1:6" ht="12.75">
      <c r="A43" s="376">
        <f>'Nov-Dez'!A9+137</f>
        <v>44273</v>
      </c>
      <c r="F43"/>
    </row>
    <row r="44" spans="1:6" ht="12.75">
      <c r="A44" s="376"/>
      <c r="F44"/>
    </row>
    <row r="45" spans="1:6" ht="12.75">
      <c r="A45" s="376">
        <f>'Nov-Dez'!A9+138</f>
        <v>44274</v>
      </c>
      <c r="F45"/>
    </row>
    <row r="46" spans="1:6" ht="12.75">
      <c r="A46" s="376"/>
      <c r="F46"/>
    </row>
    <row r="47" spans="1:6" ht="12.75">
      <c r="A47" s="376">
        <f>'Nov-Dez'!A9+139</f>
        <v>44275</v>
      </c>
      <c r="F47"/>
    </row>
    <row r="48" spans="1:6" ht="12.75">
      <c r="A48" s="376"/>
      <c r="F48"/>
    </row>
    <row r="49" spans="1:6" ht="12.75">
      <c r="A49" s="376">
        <f>'Nov-Dez'!A9+140</f>
        <v>44276</v>
      </c>
      <c r="F49"/>
    </row>
    <row r="50" spans="1:6" ht="12.75">
      <c r="A50" s="376"/>
      <c r="F50"/>
    </row>
    <row r="51" spans="1:6" ht="12.75">
      <c r="A51" s="376">
        <f>'Nov-Dez'!A9+141</f>
        <v>44277</v>
      </c>
      <c r="F51"/>
    </row>
    <row r="52" spans="1:6" ht="12.75">
      <c r="A52" s="376"/>
      <c r="F52"/>
    </row>
    <row r="53" spans="1:6" ht="12.75">
      <c r="A53" s="376">
        <f>'Nov-Dez'!A9+142</f>
        <v>44278</v>
      </c>
      <c r="F53"/>
    </row>
    <row r="54" spans="1:6" ht="12.75">
      <c r="A54" s="376"/>
      <c r="F54"/>
    </row>
    <row r="55" spans="1:6" ht="12.75">
      <c r="A55" s="376">
        <f>'Nov-Dez'!A9+143</f>
        <v>44279</v>
      </c>
      <c r="F55"/>
    </row>
    <row r="56" spans="1:6" ht="12.75">
      <c r="A56" s="376"/>
      <c r="F56"/>
    </row>
    <row r="57" spans="1:6" ht="12.75">
      <c r="A57" s="376">
        <f>'Nov-Dez'!A9+144</f>
        <v>44280</v>
      </c>
      <c r="F57"/>
    </row>
    <row r="58" spans="1:6" ht="12.75">
      <c r="A58" s="376"/>
      <c r="F58"/>
    </row>
    <row r="59" spans="1:6" ht="12.75">
      <c r="A59" s="376">
        <f>'Nov-Dez'!A9+145</f>
        <v>44281</v>
      </c>
      <c r="F59"/>
    </row>
    <row r="60" spans="1:6" ht="12.75">
      <c r="A60" s="376"/>
      <c r="F60"/>
    </row>
    <row r="61" spans="1:6" ht="12.75">
      <c r="A61" s="376">
        <f>'Nov-Dez'!A9+146</f>
        <v>44282</v>
      </c>
      <c r="F61"/>
    </row>
    <row r="62" spans="1:6" ht="12.75">
      <c r="A62" s="376"/>
      <c r="F62"/>
    </row>
    <row r="63" spans="1:6" ht="12.75">
      <c r="A63" s="376">
        <f>'Nov-Dez'!A9+147</f>
        <v>44283</v>
      </c>
      <c r="F63"/>
    </row>
    <row r="64" spans="1:6" ht="12.75">
      <c r="A64" s="376"/>
      <c r="F64"/>
    </row>
    <row r="65" spans="1:6" ht="12.75">
      <c r="A65" s="376">
        <f>'Nov-Dez'!A9+148</f>
        <v>44284</v>
      </c>
      <c r="F65"/>
    </row>
    <row r="66" spans="1:6" ht="12.75">
      <c r="A66" s="376"/>
      <c r="F66"/>
    </row>
    <row r="67" spans="1:6" ht="12.75">
      <c r="A67" s="376">
        <f>'Nov-Dez'!A9+149</f>
        <v>44285</v>
      </c>
      <c r="F67"/>
    </row>
    <row r="68" spans="1:6" ht="12.75">
      <c r="A68" s="376"/>
      <c r="F68"/>
    </row>
    <row r="69" spans="1:6" ht="12.75">
      <c r="A69" s="382">
        <f>'Nov-Dez'!A9+150</f>
        <v>44286</v>
      </c>
      <c r="F69"/>
    </row>
    <row r="70" spans="1:6" ht="12.75">
      <c r="A70" s="382"/>
      <c r="F70"/>
    </row>
    <row r="71" spans="1:6" ht="12.75">
      <c r="A71" s="183"/>
      <c r="F71"/>
    </row>
    <row r="72" spans="1:6" ht="12.75">
      <c r="A72" s="23" t="s">
        <v>23</v>
      </c>
      <c r="F72"/>
    </row>
    <row r="73" spans="1:6" ht="12.75">
      <c r="A73" s="377" t="s">
        <v>242</v>
      </c>
      <c r="F73"/>
    </row>
    <row r="74" spans="1:6" ht="12.75">
      <c r="A74" s="377"/>
      <c r="F74"/>
    </row>
    <row r="75" spans="1:6" ht="12.75">
      <c r="A75" s="376">
        <f>'Nov-Dez'!A9+152</f>
        <v>44288</v>
      </c>
      <c r="F75"/>
    </row>
    <row r="76" spans="1:6" ht="12.75">
      <c r="A76" s="376"/>
      <c r="F76"/>
    </row>
    <row r="77" spans="1:6" ht="12.75">
      <c r="A77" s="376">
        <f>'Nov-Dez'!A9+153</f>
        <v>44289</v>
      </c>
      <c r="F77"/>
    </row>
    <row r="78" spans="1:6" ht="12.75">
      <c r="A78" s="376"/>
      <c r="F78"/>
    </row>
    <row r="79" spans="1:6" ht="12.75">
      <c r="A79" s="376">
        <f>'Nov-Dez'!A9+154</f>
        <v>44290</v>
      </c>
      <c r="F79"/>
    </row>
    <row r="80" spans="1:6" ht="12.75">
      <c r="A80" s="376"/>
      <c r="F80"/>
    </row>
    <row r="81" spans="1:6" ht="12.75">
      <c r="A81" s="376">
        <f>'Nov-Dez'!A9+155</f>
        <v>44291</v>
      </c>
      <c r="F81"/>
    </row>
    <row r="82" spans="1:6" ht="12.75">
      <c r="A82" s="376"/>
      <c r="F82"/>
    </row>
    <row r="83" spans="1:6" ht="12.75">
      <c r="A83" s="376">
        <f>'Nov-Dez'!A9+156</f>
        <v>44292</v>
      </c>
      <c r="F83"/>
    </row>
    <row r="84" spans="1:6" ht="12.75">
      <c r="A84" s="376"/>
      <c r="F84"/>
    </row>
    <row r="85" spans="1:6" ht="12.75">
      <c r="A85" s="376">
        <f>'Nov-Dez'!A9+157</f>
        <v>44293</v>
      </c>
      <c r="F85"/>
    </row>
    <row r="86" spans="1:6" ht="12.75">
      <c r="A86" s="376"/>
      <c r="F86"/>
    </row>
    <row r="87" spans="1:6" ht="12.75">
      <c r="A87" s="376">
        <f>'Nov-Dez'!A9+158</f>
        <v>44294</v>
      </c>
      <c r="F87"/>
    </row>
    <row r="88" spans="1:6" ht="12.75">
      <c r="A88" s="376"/>
      <c r="F88"/>
    </row>
    <row r="89" spans="1:6" ht="12.75">
      <c r="A89" s="376">
        <f>'Nov-Dez'!A9+159</f>
        <v>44295</v>
      </c>
      <c r="F89"/>
    </row>
    <row r="90" spans="1:6" ht="12.75">
      <c r="A90" s="376"/>
      <c r="F90"/>
    </row>
    <row r="91" spans="1:6" ht="12.75">
      <c r="A91" s="376">
        <f>'Nov-Dez'!A9+160</f>
        <v>44296</v>
      </c>
      <c r="F91"/>
    </row>
    <row r="92" spans="1:6" ht="12.75">
      <c r="A92" s="376"/>
      <c r="F92"/>
    </row>
    <row r="93" spans="1:6" ht="12.75">
      <c r="A93" s="376">
        <f>'Nov-Dez'!A9+161</f>
        <v>44297</v>
      </c>
      <c r="F93"/>
    </row>
    <row r="94" spans="1:6" ht="12.75">
      <c r="A94" s="376"/>
      <c r="F94"/>
    </row>
    <row r="95" spans="1:6" ht="12.75">
      <c r="A95" s="376">
        <f>'Nov-Dez'!A9+162</f>
        <v>44298</v>
      </c>
      <c r="F95"/>
    </row>
    <row r="96" spans="1:6" ht="12.75">
      <c r="A96" s="376"/>
      <c r="F96"/>
    </row>
    <row r="97" spans="1:6" ht="12.75">
      <c r="A97" s="376">
        <f>'Nov-Dez'!A9+163</f>
        <v>44299</v>
      </c>
      <c r="F97"/>
    </row>
    <row r="98" spans="1:6" ht="12.75">
      <c r="A98" s="376"/>
      <c r="F98"/>
    </row>
    <row r="99" spans="1:6" ht="12.75">
      <c r="A99" s="376">
        <f>'Nov-Dez'!A9+164</f>
        <v>44300</v>
      </c>
      <c r="F99"/>
    </row>
    <row r="100" spans="1:6" ht="12.75">
      <c r="A100" s="376"/>
      <c r="F100"/>
    </row>
    <row r="101" spans="1:6" ht="12.75">
      <c r="A101" s="376">
        <f>'Nov-Dez'!A9+165</f>
        <v>44301</v>
      </c>
      <c r="F101"/>
    </row>
    <row r="102" spans="1:6" ht="12.75">
      <c r="A102" s="376"/>
      <c r="F102"/>
    </row>
    <row r="103" spans="1:6" ht="12.75">
      <c r="A103" s="376">
        <f>'Nov-Dez'!A9+166</f>
        <v>44302</v>
      </c>
      <c r="F103"/>
    </row>
    <row r="104" spans="1:6" ht="12.75">
      <c r="A104" s="376"/>
      <c r="F104"/>
    </row>
    <row r="105" spans="1:6" ht="12.75">
      <c r="A105" s="376">
        <f>'Nov-Dez'!A9+167</f>
        <v>44303</v>
      </c>
      <c r="F105"/>
    </row>
    <row r="106" spans="1:6" ht="12.75">
      <c r="A106" s="376"/>
      <c r="F106"/>
    </row>
    <row r="107" spans="1:6" ht="12.75">
      <c r="A107" s="376">
        <f>'Nov-Dez'!A9+168</f>
        <v>44304</v>
      </c>
      <c r="F107"/>
    </row>
    <row r="108" spans="1:6" ht="12.75">
      <c r="A108" s="376"/>
      <c r="F108"/>
    </row>
    <row r="109" spans="1:6" ht="12.75">
      <c r="A109" s="376">
        <f>'Nov-Dez'!A9+169</f>
        <v>44305</v>
      </c>
      <c r="F109"/>
    </row>
    <row r="110" spans="1:6" ht="12.75">
      <c r="A110" s="376"/>
      <c r="F110"/>
    </row>
    <row r="111" spans="1:6" ht="12.75">
      <c r="A111" s="376">
        <f>'Nov-Dez'!A9+170</f>
        <v>44306</v>
      </c>
      <c r="F111"/>
    </row>
    <row r="112" spans="1:6" ht="12.75">
      <c r="A112" s="376"/>
      <c r="F112"/>
    </row>
    <row r="113" spans="1:6" ht="12.75">
      <c r="A113" s="376">
        <f>'Nov-Dez'!A9+171</f>
        <v>44307</v>
      </c>
      <c r="F113"/>
    </row>
    <row r="114" spans="1:6" ht="12.75">
      <c r="A114" s="376"/>
      <c r="F114"/>
    </row>
    <row r="115" spans="1:6" ht="12.75">
      <c r="A115" s="376">
        <f>'Nov-Dez'!A9+172</f>
        <v>44308</v>
      </c>
      <c r="F115"/>
    </row>
    <row r="116" spans="1:6" ht="12.75">
      <c r="A116" s="376"/>
      <c r="F116"/>
    </row>
    <row r="117" spans="1:6" ht="12.75">
      <c r="A117" s="376">
        <f>'Nov-Dez'!A9+173</f>
        <v>44309</v>
      </c>
      <c r="F117"/>
    </row>
    <row r="118" spans="1:6" ht="12.75">
      <c r="A118" s="376"/>
      <c r="F118"/>
    </row>
    <row r="119" spans="1:6" ht="12.75">
      <c r="A119" s="376">
        <f>'Nov-Dez'!A9+174</f>
        <v>44310</v>
      </c>
      <c r="F119"/>
    </row>
    <row r="120" spans="1:6" ht="12.75">
      <c r="A120" s="376"/>
      <c r="F120"/>
    </row>
    <row r="121" spans="1:6" ht="12.75">
      <c r="A121" s="376">
        <f>'Nov-Dez'!A9+175</f>
        <v>44311</v>
      </c>
      <c r="F121"/>
    </row>
    <row r="122" spans="1:6" ht="12.75">
      <c r="A122" s="376"/>
      <c r="F122"/>
    </row>
    <row r="123" spans="1:6" ht="12.75">
      <c r="A123" s="376">
        <f>'Nov-Dez'!A9+176</f>
        <v>44312</v>
      </c>
      <c r="F123"/>
    </row>
    <row r="124" spans="1:6" ht="12.75">
      <c r="A124" s="376"/>
      <c r="F124"/>
    </row>
    <row r="125" spans="1:6" ht="12.75">
      <c r="A125" s="376">
        <f>'Nov-Dez'!A9+177</f>
        <v>44313</v>
      </c>
      <c r="F125"/>
    </row>
    <row r="126" spans="1:6" ht="12.75">
      <c r="A126" s="376"/>
      <c r="F126"/>
    </row>
    <row r="127" spans="1:6" ht="12.75">
      <c r="A127" s="376">
        <f>'Nov-Dez'!A9+178</f>
        <v>44314</v>
      </c>
      <c r="F127"/>
    </row>
    <row r="128" spans="1:6" ht="12.75">
      <c r="A128" s="376"/>
      <c r="F128"/>
    </row>
    <row r="129" spans="1:6" ht="12.75">
      <c r="A129" s="376">
        <f>'Nov-Dez'!A9+179</f>
        <v>44315</v>
      </c>
      <c r="F129"/>
    </row>
    <row r="130" spans="1:6" ht="12.75">
      <c r="A130" s="376"/>
      <c r="F130"/>
    </row>
    <row r="131" spans="1:6" ht="12.75">
      <c r="A131" s="376">
        <f>'Nov-Dez'!A9+180</f>
        <v>44316</v>
      </c>
      <c r="F131"/>
    </row>
    <row r="132" spans="1:6" ht="12.75">
      <c r="A132" s="376"/>
      <c r="F132"/>
    </row>
    <row r="133" spans="1:6" ht="12.75">
      <c r="A133" s="380"/>
      <c r="F133"/>
    </row>
    <row r="134" spans="1:6" ht="12.75">
      <c r="A134" s="380"/>
      <c r="F134"/>
    </row>
    <row r="135" ht="12.75">
      <c r="F135"/>
    </row>
  </sheetData>
  <sheetProtection selectLockedCells="1" selectUnlockedCells="1"/>
  <mergeCells count="62">
    <mergeCell ref="A17:A18"/>
    <mergeCell ref="A19:A20"/>
    <mergeCell ref="A9:A10"/>
    <mergeCell ref="A11:A12"/>
    <mergeCell ref="A13:A14"/>
    <mergeCell ref="A15:A16"/>
    <mergeCell ref="A41:A42"/>
    <mergeCell ref="A43:A44"/>
    <mergeCell ref="A21:A22"/>
    <mergeCell ref="A23:A24"/>
    <mergeCell ref="A25:A26"/>
    <mergeCell ref="A27:A28"/>
    <mergeCell ref="A29:A30"/>
    <mergeCell ref="A31:A32"/>
    <mergeCell ref="A33:A34"/>
    <mergeCell ref="A35:A36"/>
    <mergeCell ref="A37:A38"/>
    <mergeCell ref="A39:A40"/>
    <mergeCell ref="A65:A66"/>
    <mergeCell ref="A67:A68"/>
    <mergeCell ref="A45:A46"/>
    <mergeCell ref="A47:A48"/>
    <mergeCell ref="A49:A50"/>
    <mergeCell ref="A51:A52"/>
    <mergeCell ref="A53:A54"/>
    <mergeCell ref="A55:A56"/>
    <mergeCell ref="A57:A58"/>
    <mergeCell ref="A59:A60"/>
    <mergeCell ref="A61:A62"/>
    <mergeCell ref="A63:A64"/>
    <mergeCell ref="A91:A92"/>
    <mergeCell ref="A93:A94"/>
    <mergeCell ref="A69:A70"/>
    <mergeCell ref="A73:A74"/>
    <mergeCell ref="A75:A76"/>
    <mergeCell ref="A77:A78"/>
    <mergeCell ref="A79:A80"/>
    <mergeCell ref="A81:A82"/>
    <mergeCell ref="A83:A84"/>
    <mergeCell ref="A85:A86"/>
    <mergeCell ref="A87:A88"/>
    <mergeCell ref="A89:A90"/>
    <mergeCell ref="A115:A116"/>
    <mergeCell ref="A117:A118"/>
    <mergeCell ref="A95:A96"/>
    <mergeCell ref="A97:A98"/>
    <mergeCell ref="A99:A100"/>
    <mergeCell ref="A101:A102"/>
    <mergeCell ref="A103:A104"/>
    <mergeCell ref="A105:A106"/>
    <mergeCell ref="A107:A108"/>
    <mergeCell ref="A109:A110"/>
    <mergeCell ref="A111:A112"/>
    <mergeCell ref="A113:A114"/>
    <mergeCell ref="A131:A132"/>
    <mergeCell ref="A133:A134"/>
    <mergeCell ref="A119:A120"/>
    <mergeCell ref="A121:A122"/>
    <mergeCell ref="A123:A124"/>
    <mergeCell ref="A125:A126"/>
    <mergeCell ref="A127:A128"/>
    <mergeCell ref="A129:A130"/>
  </mergeCells>
  <conditionalFormatting sqref="A9 A11 A13 A15 A17 A19 A21 A23 A25 A27 A29 A31 A33 A35 A37 A39 A41 A43 A45 A47 A49 A51 A53 A55 A57 A59 A61 A63 A65 A67 A69:A70 A73:A134">
    <cfRule type="cellIs" priority="1" dxfId="3" operator="equal" stopIfTrue="1">
      <formula>1</formula>
    </cfRule>
    <cfRule type="cellIs" priority="2" dxfId="2" operator="equal" stopIfTrue="1">
      <formula>7</formula>
    </cfRule>
  </conditionalFormatting>
  <printOptions/>
  <pageMargins left="0.7875" right="0.7875" top="0.9840277777777777" bottom="0.9840277777777777" header="0.5118055555555555" footer="0.511805555555555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K134"/>
  <sheetViews>
    <sheetView zoomScalePageLayoutView="0" workbookViewId="0" topLeftCell="A1">
      <pane ySplit="7" topLeftCell="BM8" activePane="bottomLeft" state="frozen"/>
      <selection pane="topLeft" activeCell="D21" sqref="D21:G21"/>
      <selection pane="bottomLeft" activeCell="A2" sqref="A2"/>
    </sheetView>
  </sheetViews>
  <sheetFormatPr defaultColWidth="11.421875" defaultRowHeight="12.75"/>
  <cols>
    <col min="1" max="1" width="10.140625" style="0" customWidth="1"/>
    <col min="2" max="2" width="12.7109375" style="0" customWidth="1"/>
    <col min="6" max="6" width="5.28125" style="1" customWidth="1"/>
    <col min="9" max="9" width="13.28125" style="0" customWidth="1"/>
  </cols>
  <sheetData>
    <row r="1" spans="1:6" ht="15" thickBot="1">
      <c r="A1" s="2" t="s">
        <v>24</v>
      </c>
      <c r="E1" s="3"/>
      <c r="F1" s="4"/>
    </row>
    <row r="2" spans="1:10" ht="13.5" thickBot="1">
      <c r="A2" s="34">
        <f ca="1">TODAY()</f>
        <v>44267</v>
      </c>
      <c r="B2" s="6"/>
      <c r="C2" s="6"/>
      <c r="D2" s="6"/>
      <c r="E2" s="6"/>
      <c r="F2" s="7"/>
      <c r="G2" s="35" t="s">
        <v>21</v>
      </c>
      <c r="H2" s="335">
        <f ca="1">(44437-TODAY())/7</f>
        <v>24.285714285714285</v>
      </c>
      <c r="I2" s="362" t="s">
        <v>329</v>
      </c>
      <c r="J2" s="334"/>
    </row>
    <row r="3" spans="1:11" ht="12.75">
      <c r="A3" s="8"/>
      <c r="B3" s="9" t="s">
        <v>0</v>
      </c>
      <c r="C3" s="10" t="s">
        <v>1</v>
      </c>
      <c r="D3" s="11" t="s">
        <v>2</v>
      </c>
      <c r="E3" s="6"/>
      <c r="F3" s="7"/>
      <c r="K3" s="39"/>
    </row>
    <row r="4" spans="1:6" ht="12.75">
      <c r="A4" s="8"/>
      <c r="B4" s="6"/>
      <c r="C4" s="6"/>
      <c r="D4" s="6"/>
      <c r="E4" s="6"/>
      <c r="F4" s="7"/>
    </row>
    <row r="5" spans="1:11" ht="12.75">
      <c r="A5" s="12"/>
      <c r="B5" s="13" t="s">
        <v>3</v>
      </c>
      <c r="C5" s="13" t="s">
        <v>4</v>
      </c>
      <c r="D5" s="13" t="s">
        <v>5</v>
      </c>
      <c r="E5" s="13" t="s">
        <v>6</v>
      </c>
      <c r="F5" s="14" t="s">
        <v>7</v>
      </c>
      <c r="G5" s="8"/>
      <c r="K5" s="39"/>
    </row>
    <row r="6" spans="1:7" ht="12.75">
      <c r="A6" s="12"/>
      <c r="B6" s="16" t="s">
        <v>8</v>
      </c>
      <c r="C6" s="16" t="s">
        <v>8</v>
      </c>
      <c r="D6" s="17" t="s">
        <v>8</v>
      </c>
      <c r="E6" s="18"/>
      <c r="F6" s="19" t="s">
        <v>9</v>
      </c>
      <c r="G6" s="8"/>
    </row>
    <row r="7" spans="1:7" ht="12.75">
      <c r="A7" s="3"/>
      <c r="B7" s="20">
        <f>SUM(B9:B200)</f>
        <v>0</v>
      </c>
      <c r="C7" s="20">
        <f>SUM(C9:C200)</f>
        <v>0</v>
      </c>
      <c r="D7" s="20">
        <f>SUM(D9:D200)</f>
        <v>0</v>
      </c>
      <c r="E7" s="18"/>
      <c r="F7" s="21" t="s">
        <v>10</v>
      </c>
      <c r="G7" s="8" t="s">
        <v>17</v>
      </c>
    </row>
    <row r="8" spans="1:8" ht="12.75">
      <c r="A8" s="32" t="s">
        <v>25</v>
      </c>
      <c r="B8" s="24"/>
      <c r="C8" s="25"/>
      <c r="D8" s="25"/>
      <c r="E8" s="24"/>
      <c r="F8" s="26"/>
      <c r="G8" s="8"/>
      <c r="H8" s="27"/>
    </row>
    <row r="9" spans="1:6" ht="12.75">
      <c r="A9" s="377">
        <f>'Nov-Dez'!A9+181</f>
        <v>44317</v>
      </c>
      <c r="F9"/>
    </row>
    <row r="10" spans="1:6" ht="12.75">
      <c r="A10" s="377"/>
      <c r="F10"/>
    </row>
    <row r="11" spans="1:6" ht="12.75">
      <c r="A11" s="376">
        <f>'Nov-Dez'!A9+182</f>
        <v>44318</v>
      </c>
      <c r="F11"/>
    </row>
    <row r="12" spans="1:6" ht="12.75">
      <c r="A12" s="376"/>
      <c r="F12"/>
    </row>
    <row r="13" spans="1:6" ht="12.75">
      <c r="A13" s="376">
        <f>'Nov-Dez'!A9+183</f>
        <v>44319</v>
      </c>
      <c r="F13"/>
    </row>
    <row r="14" spans="1:6" ht="12.75">
      <c r="A14" s="376"/>
      <c r="F14"/>
    </row>
    <row r="15" spans="1:6" ht="12.75">
      <c r="A15" s="376">
        <f>'Nov-Dez'!A9+184</f>
        <v>44320</v>
      </c>
      <c r="F15"/>
    </row>
    <row r="16" spans="1:6" ht="12.75">
      <c r="A16" s="376"/>
      <c r="F16"/>
    </row>
    <row r="17" spans="1:6" ht="12.75">
      <c r="A17" s="376">
        <f>'Nov-Dez'!A9+185</f>
        <v>44321</v>
      </c>
      <c r="F17"/>
    </row>
    <row r="18" spans="1:6" ht="12.75">
      <c r="A18" s="376"/>
      <c r="F18"/>
    </row>
    <row r="19" spans="1:6" ht="12.75">
      <c r="A19" s="376">
        <f>'Nov-Dez'!A9+186</f>
        <v>44322</v>
      </c>
      <c r="F19"/>
    </row>
    <row r="20" spans="1:6" ht="12.75">
      <c r="A20" s="376"/>
      <c r="F20"/>
    </row>
    <row r="21" spans="1:6" ht="12.75">
      <c r="A21" s="376">
        <f>'Nov-Dez'!A9+187</f>
        <v>44323</v>
      </c>
      <c r="F21"/>
    </row>
    <row r="22" spans="1:6" ht="12.75">
      <c r="A22" s="376"/>
      <c r="F22"/>
    </row>
    <row r="23" spans="1:6" ht="12.75">
      <c r="A23" s="376">
        <f>'Nov-Dez'!A9+188</f>
        <v>44324</v>
      </c>
      <c r="F23"/>
    </row>
    <row r="24" spans="1:6" ht="12.75">
      <c r="A24" s="376"/>
      <c r="F24"/>
    </row>
    <row r="25" spans="1:6" ht="12.75">
      <c r="A25" s="376">
        <f>'Nov-Dez'!A9+189</f>
        <v>44325</v>
      </c>
      <c r="F25"/>
    </row>
    <row r="26" spans="1:6" ht="12.75">
      <c r="A26" s="376"/>
      <c r="F26"/>
    </row>
    <row r="27" spans="1:6" ht="12.75">
      <c r="A27" s="376">
        <f>'Nov-Dez'!A9+190</f>
        <v>44326</v>
      </c>
      <c r="F27"/>
    </row>
    <row r="28" spans="1:6" ht="12.75">
      <c r="A28" s="376"/>
      <c r="F28"/>
    </row>
    <row r="29" spans="1:6" ht="12.75">
      <c r="A29" s="376">
        <f>'Nov-Dez'!A9+191</f>
        <v>44327</v>
      </c>
      <c r="F29"/>
    </row>
    <row r="30" spans="1:6" ht="12.75">
      <c r="A30" s="376"/>
      <c r="F30"/>
    </row>
    <row r="31" spans="1:6" ht="12.75">
      <c r="A31" s="376">
        <f>'Nov-Dez'!A9+192</f>
        <v>44328</v>
      </c>
      <c r="F31"/>
    </row>
    <row r="32" spans="1:6" ht="12.75">
      <c r="A32" s="376"/>
      <c r="F32"/>
    </row>
    <row r="33" spans="1:6" ht="12.75">
      <c r="A33" s="376">
        <f>'Nov-Dez'!A9+193</f>
        <v>44329</v>
      </c>
      <c r="F33"/>
    </row>
    <row r="34" spans="1:6" ht="12.75">
      <c r="A34" s="376"/>
      <c r="F34"/>
    </row>
    <row r="35" spans="1:6" ht="12.75">
      <c r="A35" s="376">
        <f>'Nov-Dez'!A9+194</f>
        <v>44330</v>
      </c>
      <c r="F35"/>
    </row>
    <row r="36" spans="1:6" ht="12.75">
      <c r="A36" s="376"/>
      <c r="F36"/>
    </row>
    <row r="37" spans="1:6" ht="12.75">
      <c r="A37" s="376">
        <f>'Nov-Dez'!A9+195</f>
        <v>44331</v>
      </c>
      <c r="F37"/>
    </row>
    <row r="38" spans="1:6" ht="12.75">
      <c r="A38" s="376"/>
      <c r="F38"/>
    </row>
    <row r="39" spans="1:6" ht="12.75">
      <c r="A39" s="376">
        <f>'Nov-Dez'!A9+196</f>
        <v>44332</v>
      </c>
      <c r="F39"/>
    </row>
    <row r="40" spans="1:6" ht="12.75">
      <c r="A40" s="376"/>
      <c r="F40"/>
    </row>
    <row r="41" spans="1:6" ht="12.75">
      <c r="A41" s="376">
        <f>'Nov-Dez'!A9+197</f>
        <v>44333</v>
      </c>
      <c r="F41"/>
    </row>
    <row r="42" spans="1:6" ht="12.75">
      <c r="A42" s="376"/>
      <c r="F42"/>
    </row>
    <row r="43" spans="1:6" ht="12.75">
      <c r="A43" s="376">
        <f>'Nov-Dez'!A9+198</f>
        <v>44334</v>
      </c>
      <c r="F43"/>
    </row>
    <row r="44" spans="1:6" ht="12.75">
      <c r="A44" s="376"/>
      <c r="F44"/>
    </row>
    <row r="45" spans="1:6" ht="12.75">
      <c r="A45" s="376">
        <f>'Nov-Dez'!A9+199</f>
        <v>44335</v>
      </c>
      <c r="F45"/>
    </row>
    <row r="46" spans="1:6" ht="12.75">
      <c r="A46" s="376"/>
      <c r="F46"/>
    </row>
    <row r="47" spans="1:6" ht="12.75">
      <c r="A47" s="376">
        <f>'Nov-Dez'!A9+200</f>
        <v>44336</v>
      </c>
      <c r="F47"/>
    </row>
    <row r="48" spans="1:6" ht="12.75">
      <c r="A48" s="376"/>
      <c r="F48"/>
    </row>
    <row r="49" spans="1:6" ht="12.75">
      <c r="A49" s="376">
        <f>'Nov-Dez'!A9+201</f>
        <v>44337</v>
      </c>
      <c r="F49"/>
    </row>
    <row r="50" spans="1:6" ht="12.75">
      <c r="A50" s="376"/>
      <c r="F50"/>
    </row>
    <row r="51" spans="1:6" ht="12.75">
      <c r="A51" s="376">
        <f>'Nov-Dez'!A9+202</f>
        <v>44338</v>
      </c>
      <c r="F51"/>
    </row>
    <row r="52" spans="1:6" ht="12.75">
      <c r="A52" s="376"/>
      <c r="F52"/>
    </row>
    <row r="53" spans="1:6" ht="12.75">
      <c r="A53" s="376">
        <f>'Nov-Dez'!A9+203</f>
        <v>44339</v>
      </c>
      <c r="F53"/>
    </row>
    <row r="54" spans="1:6" ht="12.75">
      <c r="A54" s="376"/>
      <c r="F54"/>
    </row>
    <row r="55" spans="1:6" ht="12.75">
      <c r="A55" s="376">
        <f>'Nov-Dez'!A9+204</f>
        <v>44340</v>
      </c>
      <c r="F55"/>
    </row>
    <row r="56" spans="1:6" ht="12.75">
      <c r="A56" s="376"/>
      <c r="F56"/>
    </row>
    <row r="57" spans="1:6" ht="12.75">
      <c r="A57" s="376">
        <f>'Nov-Dez'!A9+205</f>
        <v>44341</v>
      </c>
      <c r="F57"/>
    </row>
    <row r="58" spans="1:6" ht="12.75">
      <c r="A58" s="376"/>
      <c r="F58"/>
    </row>
    <row r="59" spans="1:6" ht="12.75">
      <c r="A59" s="376">
        <f>'Nov-Dez'!A9+206</f>
        <v>44342</v>
      </c>
      <c r="F59"/>
    </row>
    <row r="60" spans="1:6" ht="12.75">
      <c r="A60" s="376"/>
      <c r="F60"/>
    </row>
    <row r="61" spans="1:6" ht="12.75">
      <c r="A61" s="376">
        <f>'Nov-Dez'!A9+207</f>
        <v>44343</v>
      </c>
      <c r="F61"/>
    </row>
    <row r="62" spans="1:6" ht="12.75">
      <c r="A62" s="376"/>
      <c r="F62"/>
    </row>
    <row r="63" spans="1:6" ht="12.75">
      <c r="A63" s="376">
        <f>'Nov-Dez'!A9+208</f>
        <v>44344</v>
      </c>
      <c r="F63"/>
    </row>
    <row r="64" spans="1:6" ht="12.75">
      <c r="A64" s="376"/>
      <c r="F64"/>
    </row>
    <row r="65" spans="1:6" ht="12.75">
      <c r="A65" s="376">
        <f>'Nov-Dez'!A9+209</f>
        <v>44345</v>
      </c>
      <c r="F65"/>
    </row>
    <row r="66" spans="1:6" ht="12.75">
      <c r="A66" s="376"/>
      <c r="F66"/>
    </row>
    <row r="67" spans="1:6" ht="12.75">
      <c r="A67" s="376">
        <f>'Nov-Dez'!A9+210</f>
        <v>44346</v>
      </c>
      <c r="F67"/>
    </row>
    <row r="68" spans="1:6" ht="12.75">
      <c r="A68" s="376"/>
      <c r="F68"/>
    </row>
    <row r="69" spans="1:6" ht="12.75">
      <c r="A69" s="382">
        <f>'Nov-Dez'!A9+211</f>
        <v>44347</v>
      </c>
      <c r="F69"/>
    </row>
    <row r="70" spans="1:6" ht="12.75">
      <c r="A70" s="382"/>
      <c r="F70"/>
    </row>
    <row r="71" spans="1:6" ht="12.75">
      <c r="A71" s="38"/>
      <c r="F71"/>
    </row>
    <row r="72" spans="1:6" ht="12.75">
      <c r="A72" s="23" t="s">
        <v>26</v>
      </c>
      <c r="F72"/>
    </row>
    <row r="73" spans="1:6" ht="12.75">
      <c r="A73" s="377" t="s">
        <v>241</v>
      </c>
      <c r="F73"/>
    </row>
    <row r="74" spans="1:6" ht="12.75">
      <c r="A74" s="377"/>
      <c r="F74"/>
    </row>
    <row r="75" spans="1:6" ht="12.75">
      <c r="A75" s="376">
        <f>'Nov-Dez'!A9+213</f>
        <v>44349</v>
      </c>
      <c r="F75"/>
    </row>
    <row r="76" spans="1:6" ht="12.75">
      <c r="A76" s="376"/>
      <c r="F76"/>
    </row>
    <row r="77" spans="1:6" ht="12.75">
      <c r="A77" s="376">
        <f>'Nov-Dez'!A9+214</f>
        <v>44350</v>
      </c>
      <c r="F77"/>
    </row>
    <row r="78" spans="1:6" ht="12.75">
      <c r="A78" s="376"/>
      <c r="F78"/>
    </row>
    <row r="79" spans="1:6" ht="12.75">
      <c r="A79" s="376">
        <f>'Nov-Dez'!A9+215</f>
        <v>44351</v>
      </c>
      <c r="F79"/>
    </row>
    <row r="80" spans="1:6" ht="12.75">
      <c r="A80" s="376"/>
      <c r="F80"/>
    </row>
    <row r="81" spans="1:6" ht="12.75">
      <c r="A81" s="376">
        <f>'Nov-Dez'!A9+216</f>
        <v>44352</v>
      </c>
      <c r="F81"/>
    </row>
    <row r="82" spans="1:6" ht="12.75">
      <c r="A82" s="376"/>
      <c r="F82"/>
    </row>
    <row r="83" spans="1:6" ht="12.75">
      <c r="A83" s="376">
        <f>'Nov-Dez'!A9+217</f>
        <v>44353</v>
      </c>
      <c r="F83"/>
    </row>
    <row r="84" spans="1:6" ht="12.75">
      <c r="A84" s="376"/>
      <c r="F84"/>
    </row>
    <row r="85" spans="1:6" ht="12.75">
      <c r="A85" s="376">
        <f>'Nov-Dez'!A9+218</f>
        <v>44354</v>
      </c>
      <c r="F85"/>
    </row>
    <row r="86" spans="1:6" ht="12.75">
      <c r="A86" s="376"/>
      <c r="F86"/>
    </row>
    <row r="87" spans="1:6" ht="12.75">
      <c r="A87" s="376">
        <f>'Nov-Dez'!A9+219</f>
        <v>44355</v>
      </c>
      <c r="F87"/>
    </row>
    <row r="88" spans="1:6" ht="12.75">
      <c r="A88" s="376"/>
      <c r="F88"/>
    </row>
    <row r="89" spans="1:6" ht="12.75">
      <c r="A89" s="376">
        <f>'Nov-Dez'!A9+220</f>
        <v>44356</v>
      </c>
      <c r="F89"/>
    </row>
    <row r="90" spans="1:6" ht="12.75">
      <c r="A90" s="376"/>
      <c r="F90"/>
    </row>
    <row r="91" spans="1:6" ht="12.75">
      <c r="A91" s="376">
        <f>'Nov-Dez'!A9+221</f>
        <v>44357</v>
      </c>
      <c r="F91"/>
    </row>
    <row r="92" spans="1:6" ht="12.75">
      <c r="A92" s="376"/>
      <c r="F92"/>
    </row>
    <row r="93" spans="1:6" ht="12.75">
      <c r="A93" s="376">
        <f>'Nov-Dez'!A9+222</f>
        <v>44358</v>
      </c>
      <c r="F93"/>
    </row>
    <row r="94" spans="1:6" ht="12.75">
      <c r="A94" s="376"/>
      <c r="F94"/>
    </row>
    <row r="95" spans="1:6" ht="12.75">
      <c r="A95" s="376">
        <f>'Nov-Dez'!A9+223</f>
        <v>44359</v>
      </c>
      <c r="F95"/>
    </row>
    <row r="96" spans="1:6" ht="12.75">
      <c r="A96" s="376"/>
      <c r="F96"/>
    </row>
    <row r="97" spans="1:6" ht="12.75">
      <c r="A97" s="376">
        <f>'Nov-Dez'!A9+224</f>
        <v>44360</v>
      </c>
      <c r="F97"/>
    </row>
    <row r="98" spans="1:6" ht="12.75">
      <c r="A98" s="376"/>
      <c r="F98"/>
    </row>
    <row r="99" spans="1:6" ht="12.75">
      <c r="A99" s="376">
        <f>'Nov-Dez'!A9+225</f>
        <v>44361</v>
      </c>
      <c r="F99"/>
    </row>
    <row r="100" spans="1:6" ht="12.75">
      <c r="A100" s="376"/>
      <c r="F100"/>
    </row>
    <row r="101" spans="1:6" ht="12.75">
      <c r="A101" s="376">
        <f>'Nov-Dez'!A9+226</f>
        <v>44362</v>
      </c>
      <c r="F101"/>
    </row>
    <row r="102" spans="1:6" ht="12.75">
      <c r="A102" s="376"/>
      <c r="F102"/>
    </row>
    <row r="103" spans="1:6" ht="12.75">
      <c r="A103" s="376">
        <f>'Nov-Dez'!A9+227</f>
        <v>44363</v>
      </c>
      <c r="F103"/>
    </row>
    <row r="104" spans="1:6" ht="12.75">
      <c r="A104" s="376"/>
      <c r="F104"/>
    </row>
    <row r="105" spans="1:10" ht="12.75">
      <c r="A105" s="376">
        <f>'Nov-Dez'!A9+228</f>
        <v>44364</v>
      </c>
      <c r="F105"/>
      <c r="J105" s="40"/>
    </row>
    <row r="106" spans="1:6" ht="12.75">
      <c r="A106" s="376"/>
      <c r="F106"/>
    </row>
    <row r="107" spans="1:6" ht="12.75">
      <c r="A107" s="376">
        <f>'Nov-Dez'!A9+229</f>
        <v>44365</v>
      </c>
      <c r="F107"/>
    </row>
    <row r="108" spans="1:6" ht="12.75">
      <c r="A108" s="376"/>
      <c r="F108"/>
    </row>
    <row r="109" spans="1:6" ht="12.75">
      <c r="A109" s="376">
        <f>'Nov-Dez'!A9+230</f>
        <v>44366</v>
      </c>
      <c r="F109"/>
    </row>
    <row r="110" spans="1:6" ht="12.75">
      <c r="A110" s="376"/>
      <c r="F110"/>
    </row>
    <row r="111" spans="1:6" ht="12.75">
      <c r="A111" s="376">
        <f>'Nov-Dez'!A9+231</f>
        <v>44367</v>
      </c>
      <c r="F111"/>
    </row>
    <row r="112" spans="1:6" ht="12.75">
      <c r="A112" s="376"/>
      <c r="F112"/>
    </row>
    <row r="113" spans="1:6" ht="12.75">
      <c r="A113" s="376">
        <f>'Nov-Dez'!A9+232</f>
        <v>44368</v>
      </c>
      <c r="F113"/>
    </row>
    <row r="114" spans="1:6" ht="12.75">
      <c r="A114" s="376"/>
      <c r="F114"/>
    </row>
    <row r="115" spans="1:6" ht="12.75">
      <c r="A115" s="376">
        <f>'Nov-Dez'!A9+233</f>
        <v>44369</v>
      </c>
      <c r="F115"/>
    </row>
    <row r="116" spans="1:6" ht="12.75">
      <c r="A116" s="376"/>
      <c r="F116"/>
    </row>
    <row r="117" spans="1:6" ht="12.75">
      <c r="A117" s="376">
        <f>'Nov-Dez'!A9+234</f>
        <v>44370</v>
      </c>
      <c r="F117"/>
    </row>
    <row r="118" spans="1:6" ht="12.75">
      <c r="A118" s="376"/>
      <c r="F118"/>
    </row>
    <row r="119" spans="1:6" ht="12.75">
      <c r="A119" s="376">
        <f>'Nov-Dez'!A9+235</f>
        <v>44371</v>
      </c>
      <c r="F119"/>
    </row>
    <row r="120" spans="1:6" ht="12.75">
      <c r="A120" s="376"/>
      <c r="F120"/>
    </row>
    <row r="121" spans="1:6" ht="12.75">
      <c r="A121" s="376">
        <f>'Nov-Dez'!A9+236</f>
        <v>44372</v>
      </c>
      <c r="F121"/>
    </row>
    <row r="122" spans="1:6" ht="12.75">
      <c r="A122" s="376"/>
      <c r="F122"/>
    </row>
    <row r="123" spans="1:6" ht="12.75">
      <c r="A123" s="376">
        <f>'Nov-Dez'!A9+237</f>
        <v>44373</v>
      </c>
      <c r="F123"/>
    </row>
    <row r="124" spans="1:6" ht="12.75">
      <c r="A124" s="376"/>
      <c r="F124"/>
    </row>
    <row r="125" spans="1:6" ht="12.75">
      <c r="A125" s="376">
        <f>'Nov-Dez'!A9+238</f>
        <v>44374</v>
      </c>
      <c r="F125"/>
    </row>
    <row r="126" spans="1:6" ht="12.75">
      <c r="A126" s="376"/>
      <c r="F126"/>
    </row>
    <row r="127" spans="1:6" ht="12.75">
      <c r="A127" s="376">
        <f>'Nov-Dez'!A9+239</f>
        <v>44375</v>
      </c>
      <c r="F127"/>
    </row>
    <row r="128" spans="1:6" ht="12.75">
      <c r="A128" s="376"/>
      <c r="F128"/>
    </row>
    <row r="129" spans="1:6" ht="12.75">
      <c r="A129" s="376">
        <f>'Nov-Dez'!A9+240</f>
        <v>44376</v>
      </c>
      <c r="F129"/>
    </row>
    <row r="130" spans="1:6" ht="12.75">
      <c r="A130" s="376"/>
      <c r="F130"/>
    </row>
    <row r="131" spans="1:6" ht="12.75">
      <c r="A131" s="376">
        <f>'Nov-Dez'!A9+241</f>
        <v>44377</v>
      </c>
      <c r="F131"/>
    </row>
    <row r="132" spans="1:6" ht="12.75">
      <c r="A132" s="376"/>
      <c r="F132"/>
    </row>
    <row r="133" spans="1:6" ht="12.75">
      <c r="A133" s="380"/>
      <c r="F133"/>
    </row>
    <row r="134" spans="1:6" ht="12.75">
      <c r="A134" s="380"/>
      <c r="F134"/>
    </row>
  </sheetData>
  <sheetProtection selectLockedCells="1" selectUnlockedCells="1"/>
  <mergeCells count="62">
    <mergeCell ref="A17:A18"/>
    <mergeCell ref="A19:A20"/>
    <mergeCell ref="A9:A10"/>
    <mergeCell ref="A11:A12"/>
    <mergeCell ref="A13:A14"/>
    <mergeCell ref="A15:A16"/>
    <mergeCell ref="A41:A42"/>
    <mergeCell ref="A43:A44"/>
    <mergeCell ref="A21:A22"/>
    <mergeCell ref="A23:A24"/>
    <mergeCell ref="A25:A26"/>
    <mergeCell ref="A27:A28"/>
    <mergeCell ref="A29:A30"/>
    <mergeCell ref="A31:A32"/>
    <mergeCell ref="A33:A34"/>
    <mergeCell ref="A35:A36"/>
    <mergeCell ref="A37:A38"/>
    <mergeCell ref="A39:A40"/>
    <mergeCell ref="A65:A66"/>
    <mergeCell ref="A67:A68"/>
    <mergeCell ref="A45:A46"/>
    <mergeCell ref="A47:A48"/>
    <mergeCell ref="A49:A50"/>
    <mergeCell ref="A51:A52"/>
    <mergeCell ref="A53:A54"/>
    <mergeCell ref="A55:A56"/>
    <mergeCell ref="A57:A58"/>
    <mergeCell ref="A59:A60"/>
    <mergeCell ref="A61:A62"/>
    <mergeCell ref="A63:A64"/>
    <mergeCell ref="A91:A92"/>
    <mergeCell ref="A93:A94"/>
    <mergeCell ref="A69:A70"/>
    <mergeCell ref="A73:A74"/>
    <mergeCell ref="A75:A76"/>
    <mergeCell ref="A77:A78"/>
    <mergeCell ref="A79:A80"/>
    <mergeCell ref="A81:A82"/>
    <mergeCell ref="A83:A84"/>
    <mergeCell ref="A85:A86"/>
    <mergeCell ref="A87:A88"/>
    <mergeCell ref="A89:A90"/>
    <mergeCell ref="A115:A116"/>
    <mergeCell ref="A117:A118"/>
    <mergeCell ref="A95:A96"/>
    <mergeCell ref="A97:A98"/>
    <mergeCell ref="A99:A100"/>
    <mergeCell ref="A101:A102"/>
    <mergeCell ref="A103:A104"/>
    <mergeCell ref="A105:A106"/>
    <mergeCell ref="A107:A108"/>
    <mergeCell ref="A109:A110"/>
    <mergeCell ref="A111:A112"/>
    <mergeCell ref="A113:A114"/>
    <mergeCell ref="A131:A132"/>
    <mergeCell ref="A133:A134"/>
    <mergeCell ref="A119:A120"/>
    <mergeCell ref="A121:A122"/>
    <mergeCell ref="A123:A124"/>
    <mergeCell ref="A125:A126"/>
    <mergeCell ref="A127:A128"/>
    <mergeCell ref="A129:A130"/>
  </mergeCells>
  <conditionalFormatting sqref="A9:A70 A73:A134">
    <cfRule type="cellIs" priority="1" dxfId="3" operator="equal" stopIfTrue="1">
      <formula>1</formula>
    </cfRule>
    <cfRule type="cellIs" priority="2" dxfId="2" operator="equal" stopIfTrue="1">
      <formula>7</formula>
    </cfRule>
  </conditionalFormatting>
  <printOptions/>
  <pageMargins left="0.7875" right="0.7875" top="0.9840277777777777" bottom="0.9840277777777777" header="0.5118055555555555" footer="0.511805555555555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O136"/>
  <sheetViews>
    <sheetView zoomScalePageLayoutView="0" workbookViewId="0" topLeftCell="A1">
      <pane ySplit="7" topLeftCell="BM8" activePane="bottomLeft" state="frozen"/>
      <selection pane="topLeft" activeCell="D21" sqref="D21:G21"/>
      <selection pane="bottomLeft" activeCell="A2" sqref="A2"/>
    </sheetView>
  </sheetViews>
  <sheetFormatPr defaultColWidth="11.421875" defaultRowHeight="12.75"/>
  <cols>
    <col min="1" max="1" width="10.140625" style="0" customWidth="1"/>
    <col min="2" max="2" width="13.00390625" style="0" customWidth="1"/>
    <col min="6" max="6" width="5.28125" style="1" customWidth="1"/>
    <col min="9" max="9" width="12.7109375" style="0" customWidth="1"/>
  </cols>
  <sheetData>
    <row r="1" spans="1:6" ht="15" thickBot="1">
      <c r="A1" s="2" t="s">
        <v>27</v>
      </c>
      <c r="E1" s="3"/>
      <c r="F1" s="4"/>
    </row>
    <row r="2" spans="1:10" ht="13.5" thickBot="1">
      <c r="A2" s="5">
        <f ca="1">TODAY()</f>
        <v>44267</v>
      </c>
      <c r="B2" s="6"/>
      <c r="C2" s="6"/>
      <c r="D2" s="6"/>
      <c r="E2" s="6"/>
      <c r="F2" s="7"/>
      <c r="G2" s="35" t="s">
        <v>21</v>
      </c>
      <c r="H2" s="335">
        <f ca="1">(44437-TODAY())/7</f>
        <v>24.285714285714285</v>
      </c>
      <c r="I2" s="362" t="s">
        <v>329</v>
      </c>
      <c r="J2" s="334"/>
    </row>
    <row r="3" spans="1:6" ht="12.75">
      <c r="A3" s="8"/>
      <c r="B3" s="9" t="s">
        <v>0</v>
      </c>
      <c r="C3" s="10" t="s">
        <v>1</v>
      </c>
      <c r="D3" s="11" t="s">
        <v>2</v>
      </c>
      <c r="E3" s="6"/>
      <c r="F3" s="7"/>
    </row>
    <row r="4" spans="1:6" ht="12.75">
      <c r="A4" s="8"/>
      <c r="B4" s="6"/>
      <c r="C4" s="6"/>
      <c r="D4" s="6"/>
      <c r="E4" s="6"/>
      <c r="F4" s="7"/>
    </row>
    <row r="5" spans="1:7" ht="12.75">
      <c r="A5" s="12"/>
      <c r="B5" s="13" t="s">
        <v>3</v>
      </c>
      <c r="C5" s="13" t="s">
        <v>4</v>
      </c>
      <c r="D5" s="13" t="s">
        <v>5</v>
      </c>
      <c r="E5" s="13" t="s">
        <v>6</v>
      </c>
      <c r="F5" s="14" t="s">
        <v>7</v>
      </c>
      <c r="G5" s="8"/>
    </row>
    <row r="6" spans="1:7" ht="12.75">
      <c r="A6" s="12"/>
      <c r="B6" s="16" t="s">
        <v>8</v>
      </c>
      <c r="C6" s="16" t="s">
        <v>8</v>
      </c>
      <c r="D6" s="17" t="s">
        <v>8</v>
      </c>
      <c r="E6" s="18"/>
      <c r="F6" s="19" t="s">
        <v>9</v>
      </c>
      <c r="G6" s="8"/>
    </row>
    <row r="7" spans="1:7" ht="12.75">
      <c r="A7" s="3"/>
      <c r="B7" s="20">
        <f>SUM(B9:B200)</f>
        <v>0</v>
      </c>
      <c r="C7" s="20">
        <f>SUM(C9:C200)</f>
        <v>0</v>
      </c>
      <c r="D7" s="20">
        <f>SUM(D9:D200)</f>
        <v>0</v>
      </c>
      <c r="E7" s="18"/>
      <c r="F7" s="21" t="s">
        <v>10</v>
      </c>
      <c r="G7" s="8" t="s">
        <v>17</v>
      </c>
    </row>
    <row r="8" spans="1:8" ht="12.75">
      <c r="A8" s="32" t="s">
        <v>28</v>
      </c>
      <c r="B8" s="24"/>
      <c r="C8" s="25"/>
      <c r="D8" s="25"/>
      <c r="E8" s="24"/>
      <c r="F8" s="26"/>
      <c r="G8" s="8"/>
      <c r="H8" s="27"/>
    </row>
    <row r="9" spans="1:6" ht="12.75">
      <c r="A9" s="377">
        <f>'Nov-Dez'!A9+242</f>
        <v>44378</v>
      </c>
      <c r="F9"/>
    </row>
    <row r="10" spans="1:15" ht="12.75">
      <c r="A10" s="377"/>
      <c r="F10"/>
      <c r="O10" s="338"/>
    </row>
    <row r="11" spans="1:13" ht="12.75">
      <c r="A11" s="376">
        <f>'Nov-Dez'!A9+243</f>
        <v>44379</v>
      </c>
      <c r="F11"/>
      <c r="L11" s="182"/>
      <c r="M11" s="182"/>
    </row>
    <row r="12" spans="1:6" ht="12.75">
      <c r="A12" s="376"/>
      <c r="F12"/>
    </row>
    <row r="13" spans="1:6" ht="12.75">
      <c r="A13" s="376">
        <f>'Nov-Dez'!A9+244</f>
        <v>44380</v>
      </c>
      <c r="F13"/>
    </row>
    <row r="14" spans="1:6" ht="12.75">
      <c r="A14" s="376"/>
      <c r="F14"/>
    </row>
    <row r="15" spans="1:6" ht="12.75">
      <c r="A15" s="376">
        <f>'Nov-Dez'!A9+245</f>
        <v>44381</v>
      </c>
      <c r="F15"/>
    </row>
    <row r="16" spans="1:6" ht="12.75">
      <c r="A16" s="376"/>
      <c r="F16"/>
    </row>
    <row r="17" spans="1:6" ht="12.75">
      <c r="A17" s="376">
        <f>'Nov-Dez'!A9+246</f>
        <v>44382</v>
      </c>
      <c r="F17"/>
    </row>
    <row r="18" spans="1:6" ht="12.75">
      <c r="A18" s="376"/>
      <c r="F18"/>
    </row>
    <row r="19" spans="1:6" ht="12.75">
      <c r="A19" s="376">
        <f>'Nov-Dez'!A9+247</f>
        <v>44383</v>
      </c>
      <c r="F19"/>
    </row>
    <row r="20" spans="1:6" ht="12.75">
      <c r="A20" s="376"/>
      <c r="F20"/>
    </row>
    <row r="21" spans="1:6" ht="12.75">
      <c r="A21" s="376">
        <f>'Nov-Dez'!A9+248</f>
        <v>44384</v>
      </c>
      <c r="F21"/>
    </row>
    <row r="22" spans="1:6" ht="12.75">
      <c r="A22" s="376"/>
      <c r="F22"/>
    </row>
    <row r="23" spans="1:6" ht="12.75">
      <c r="A23" s="376">
        <f>'Nov-Dez'!A9+249</f>
        <v>44385</v>
      </c>
      <c r="F23"/>
    </row>
    <row r="24" spans="1:6" ht="12.75">
      <c r="A24" s="376"/>
      <c r="F24"/>
    </row>
    <row r="25" spans="1:6" ht="12.75">
      <c r="A25" s="376">
        <f>'Nov-Dez'!A9+250</f>
        <v>44386</v>
      </c>
      <c r="F25"/>
    </row>
    <row r="26" spans="1:6" ht="12.75">
      <c r="A26" s="376"/>
      <c r="F26"/>
    </row>
    <row r="27" spans="1:6" ht="12.75">
      <c r="A27" s="376">
        <f>'Nov-Dez'!A9+251</f>
        <v>44387</v>
      </c>
      <c r="F27"/>
    </row>
    <row r="28" spans="1:6" ht="12.75">
      <c r="A28" s="376"/>
      <c r="F28"/>
    </row>
    <row r="29" spans="1:6" ht="12.75">
      <c r="A29" s="376">
        <f>'Nov-Dez'!A9+252</f>
        <v>44388</v>
      </c>
      <c r="F29"/>
    </row>
    <row r="30" spans="1:6" ht="12.75">
      <c r="A30" s="376"/>
      <c r="F30"/>
    </row>
    <row r="31" spans="1:6" ht="12.75">
      <c r="A31" s="376">
        <f>'Nov-Dez'!A9+253</f>
        <v>44389</v>
      </c>
      <c r="F31"/>
    </row>
    <row r="32" spans="1:6" ht="12.75">
      <c r="A32" s="376"/>
      <c r="F32"/>
    </row>
    <row r="33" spans="1:6" ht="12.75">
      <c r="A33" s="376">
        <f>'Nov-Dez'!A9+254</f>
        <v>44390</v>
      </c>
      <c r="F33"/>
    </row>
    <row r="34" spans="1:6" ht="12.75">
      <c r="A34" s="376"/>
      <c r="F34"/>
    </row>
    <row r="35" spans="1:6" ht="12.75">
      <c r="A35" s="376">
        <f>'Nov-Dez'!A9+255</f>
        <v>44391</v>
      </c>
      <c r="F35"/>
    </row>
    <row r="36" spans="1:6" ht="12.75">
      <c r="A36" s="376"/>
      <c r="F36"/>
    </row>
    <row r="37" spans="1:6" ht="12.75">
      <c r="A37" s="376">
        <f>'Nov-Dez'!A9+256</f>
        <v>44392</v>
      </c>
      <c r="F37"/>
    </row>
    <row r="38" spans="1:6" ht="12.75">
      <c r="A38" s="376"/>
      <c r="F38"/>
    </row>
    <row r="39" spans="1:6" ht="12.75">
      <c r="A39" s="376">
        <f>'Nov-Dez'!A9+257</f>
        <v>44393</v>
      </c>
      <c r="F39"/>
    </row>
    <row r="40" spans="1:6" ht="12.75">
      <c r="A40" s="376"/>
      <c r="F40"/>
    </row>
    <row r="41" spans="1:6" ht="12.75">
      <c r="A41" s="376">
        <f>'Nov-Dez'!A9+258</f>
        <v>44394</v>
      </c>
      <c r="F41"/>
    </row>
    <row r="42" spans="1:6" ht="12.75">
      <c r="A42" s="376"/>
      <c r="F42"/>
    </row>
    <row r="43" spans="1:6" ht="12.75">
      <c r="A43" s="376">
        <f>'Nov-Dez'!A9+259</f>
        <v>44395</v>
      </c>
      <c r="F43"/>
    </row>
    <row r="44" spans="1:6" ht="12.75">
      <c r="A44" s="376"/>
      <c r="F44"/>
    </row>
    <row r="45" spans="1:6" ht="12.75">
      <c r="A45" s="376">
        <f>'Nov-Dez'!A9+260</f>
        <v>44396</v>
      </c>
      <c r="F45"/>
    </row>
    <row r="46" spans="1:6" ht="12.75">
      <c r="A46" s="376"/>
      <c r="F46"/>
    </row>
    <row r="47" spans="1:6" ht="12.75">
      <c r="A47" s="376">
        <f>'Nov-Dez'!A9+261</f>
        <v>44397</v>
      </c>
      <c r="F47"/>
    </row>
    <row r="48" spans="1:6" ht="12.75">
      <c r="A48" s="376"/>
      <c r="F48"/>
    </row>
    <row r="49" spans="1:6" ht="12.75">
      <c r="A49" s="376">
        <f>'Nov-Dez'!A9+262</f>
        <v>44398</v>
      </c>
      <c r="F49"/>
    </row>
    <row r="50" spans="1:6" ht="12.75">
      <c r="A50" s="376"/>
      <c r="F50"/>
    </row>
    <row r="51" spans="1:6" ht="12.75">
      <c r="A51" s="376">
        <f>'Nov-Dez'!A9+263</f>
        <v>44399</v>
      </c>
      <c r="F51"/>
    </row>
    <row r="52" spans="1:6" ht="12.75">
      <c r="A52" s="376"/>
      <c r="F52"/>
    </row>
    <row r="53" spans="1:6" ht="12.75">
      <c r="A53" s="376">
        <f>'Nov-Dez'!A9+264</f>
        <v>44400</v>
      </c>
      <c r="F53"/>
    </row>
    <row r="54" spans="1:6" ht="12.75">
      <c r="A54" s="376"/>
      <c r="F54"/>
    </row>
    <row r="55" spans="1:6" ht="12.75">
      <c r="A55" s="376">
        <f>'Nov-Dez'!A9+265</f>
        <v>44401</v>
      </c>
      <c r="F55"/>
    </row>
    <row r="56" spans="1:6" ht="12.75">
      <c r="A56" s="376"/>
      <c r="F56"/>
    </row>
    <row r="57" spans="1:6" ht="12.75">
      <c r="A57" s="376">
        <f>'Nov-Dez'!A9+266</f>
        <v>44402</v>
      </c>
      <c r="F57"/>
    </row>
    <row r="58" spans="1:6" ht="12.75">
      <c r="A58" s="376"/>
      <c r="F58"/>
    </row>
    <row r="59" spans="1:6" ht="12.75">
      <c r="A59" s="376">
        <f>'Nov-Dez'!A9+267</f>
        <v>44403</v>
      </c>
      <c r="F59"/>
    </row>
    <row r="60" spans="1:6" ht="12.75">
      <c r="A60" s="376"/>
      <c r="F60"/>
    </row>
    <row r="61" spans="1:6" ht="12.75">
      <c r="A61" s="376">
        <f>'Nov-Dez'!A9+268</f>
        <v>44404</v>
      </c>
      <c r="F61"/>
    </row>
    <row r="62" spans="1:6" ht="12.75">
      <c r="A62" s="376"/>
      <c r="F62"/>
    </row>
    <row r="63" spans="1:6" ht="12.75">
      <c r="A63" s="376">
        <f>'Nov-Dez'!A9+269</f>
        <v>44405</v>
      </c>
      <c r="F63"/>
    </row>
    <row r="64" spans="1:6" ht="12.75">
      <c r="A64" s="376"/>
      <c r="F64"/>
    </row>
    <row r="65" spans="1:6" ht="12.75">
      <c r="A65" s="376">
        <f>'Nov-Dez'!A9+270</f>
        <v>44406</v>
      </c>
      <c r="F65"/>
    </row>
    <row r="66" spans="1:6" ht="12.75">
      <c r="A66" s="376"/>
      <c r="F66"/>
    </row>
    <row r="67" spans="1:6" ht="12.75">
      <c r="A67" s="376">
        <f>'Nov-Dez'!A9+271</f>
        <v>44407</v>
      </c>
      <c r="F67"/>
    </row>
    <row r="68" spans="1:6" ht="12.75">
      <c r="A68" s="376"/>
      <c r="F68"/>
    </row>
    <row r="69" spans="1:6" ht="12.75">
      <c r="A69" s="382">
        <f>'Nov-Dez'!A9+272</f>
        <v>44408</v>
      </c>
      <c r="F69"/>
    </row>
    <row r="70" spans="1:6" ht="13.5" thickBot="1">
      <c r="A70" s="382"/>
      <c r="F70"/>
    </row>
    <row r="71" spans="1:6" ht="13.5" thickBot="1">
      <c r="A71" s="385" t="s">
        <v>29</v>
      </c>
      <c r="F71"/>
    </row>
    <row r="72" spans="1:6" ht="13.5" thickBot="1">
      <c r="A72" s="385"/>
      <c r="F72"/>
    </row>
    <row r="73" spans="1:6" ht="12.75" customHeight="1">
      <c r="A73" s="384">
        <f>'Nov-Dez'!A9+273</f>
        <v>44409</v>
      </c>
      <c r="F73"/>
    </row>
    <row r="74" spans="1:6" ht="12.75">
      <c r="A74" s="377"/>
      <c r="F74"/>
    </row>
    <row r="75" spans="1:6" ht="12.75">
      <c r="A75" s="376">
        <f>'Nov-Dez'!A9+274</f>
        <v>44410</v>
      </c>
      <c r="F75"/>
    </row>
    <row r="76" spans="1:6" ht="12.75">
      <c r="A76" s="376"/>
      <c r="F76"/>
    </row>
    <row r="77" spans="1:6" ht="12.75">
      <c r="A77" s="376">
        <f>'Nov-Dez'!A9+275</f>
        <v>44411</v>
      </c>
      <c r="F77"/>
    </row>
    <row r="78" spans="1:6" ht="12.75">
      <c r="A78" s="376"/>
      <c r="F78"/>
    </row>
    <row r="79" spans="1:6" ht="12.75">
      <c r="A79" s="376">
        <f>'Nov-Dez'!A9+276</f>
        <v>44412</v>
      </c>
      <c r="F79"/>
    </row>
    <row r="80" spans="1:6" ht="12.75">
      <c r="A80" s="376"/>
      <c r="F80"/>
    </row>
    <row r="81" spans="1:6" ht="12.75">
      <c r="A81" s="376">
        <f>'Nov-Dez'!A9+277</f>
        <v>44413</v>
      </c>
      <c r="F81"/>
    </row>
    <row r="82" spans="1:6" ht="12.75">
      <c r="A82" s="376"/>
      <c r="F82"/>
    </row>
    <row r="83" spans="1:6" ht="12.75">
      <c r="A83" s="376">
        <f>'Nov-Dez'!A9+278</f>
        <v>44414</v>
      </c>
      <c r="F83"/>
    </row>
    <row r="84" spans="1:6" ht="12.75">
      <c r="A84" s="376"/>
      <c r="F84"/>
    </row>
    <row r="85" spans="1:6" ht="12.75">
      <c r="A85" s="376">
        <f>'Nov-Dez'!A9+279</f>
        <v>44415</v>
      </c>
      <c r="F85"/>
    </row>
    <row r="86" spans="1:6" ht="12.75">
      <c r="A86" s="376"/>
      <c r="F86"/>
    </row>
    <row r="87" spans="1:6" ht="12.75">
      <c r="A87" s="376">
        <f>'Nov-Dez'!A9+280</f>
        <v>44416</v>
      </c>
      <c r="F87"/>
    </row>
    <row r="88" spans="1:6" ht="12.75">
      <c r="A88" s="376"/>
      <c r="F88"/>
    </row>
    <row r="89" spans="1:6" ht="12.75">
      <c r="A89" s="376">
        <f>'Nov-Dez'!A9+281</f>
        <v>44417</v>
      </c>
      <c r="F89"/>
    </row>
    <row r="90" spans="1:6" ht="12.75">
      <c r="A90" s="376"/>
      <c r="F90"/>
    </row>
    <row r="91" spans="1:6" ht="12.75">
      <c r="A91" s="376">
        <f>'Nov-Dez'!A9+282</f>
        <v>44418</v>
      </c>
      <c r="F91"/>
    </row>
    <row r="92" spans="1:6" ht="12.75">
      <c r="A92" s="376"/>
      <c r="F92"/>
    </row>
    <row r="93" spans="1:6" ht="12.75">
      <c r="A93" s="376">
        <f>'Nov-Dez'!A9+283</f>
        <v>44419</v>
      </c>
      <c r="F93"/>
    </row>
    <row r="94" spans="1:6" ht="12.75">
      <c r="A94" s="376"/>
      <c r="F94"/>
    </row>
    <row r="95" spans="1:6" ht="12.75">
      <c r="A95" s="376">
        <f>'Nov-Dez'!A9+284</f>
        <v>44420</v>
      </c>
      <c r="F95"/>
    </row>
    <row r="96" spans="1:8" ht="12.75">
      <c r="A96" s="376"/>
      <c r="F96"/>
      <c r="H96" s="41"/>
    </row>
    <row r="97" spans="1:6" ht="12.75">
      <c r="A97" s="376">
        <f>'Nov-Dez'!A9+285</f>
        <v>44421</v>
      </c>
      <c r="F97"/>
    </row>
    <row r="98" spans="1:6" ht="12.75">
      <c r="A98" s="376"/>
      <c r="F98"/>
    </row>
    <row r="99" spans="1:6" ht="12.75">
      <c r="A99" s="376">
        <f>'Nov-Dez'!A9+286</f>
        <v>44422</v>
      </c>
      <c r="F99"/>
    </row>
    <row r="100" spans="1:6" ht="12.75">
      <c r="A100" s="376"/>
      <c r="F100"/>
    </row>
    <row r="101" spans="1:6" ht="12.75">
      <c r="A101" s="376">
        <f>'Nov-Dez'!A9+287</f>
        <v>44423</v>
      </c>
      <c r="F101"/>
    </row>
    <row r="102" spans="1:6" ht="12.75">
      <c r="A102" s="376"/>
      <c r="F102"/>
    </row>
    <row r="103" spans="1:6" ht="12.75">
      <c r="A103" s="376">
        <f>'Nov-Dez'!A9+288</f>
        <v>44424</v>
      </c>
      <c r="F103"/>
    </row>
    <row r="104" spans="1:6" ht="12.75">
      <c r="A104" s="376"/>
      <c r="F104"/>
    </row>
    <row r="105" spans="1:6" ht="12.75">
      <c r="A105" s="376">
        <f>'Nov-Dez'!A9+289</f>
        <v>44425</v>
      </c>
      <c r="F105"/>
    </row>
    <row r="106" spans="1:6" ht="12.75">
      <c r="A106" s="376"/>
      <c r="F106"/>
    </row>
    <row r="107" spans="1:6" ht="12.75">
      <c r="A107" s="376">
        <f>'Nov-Dez'!A9+290</f>
        <v>44426</v>
      </c>
      <c r="F107"/>
    </row>
    <row r="108" spans="1:6" ht="12.75">
      <c r="A108" s="376"/>
      <c r="F108"/>
    </row>
    <row r="109" spans="1:6" ht="12.75">
      <c r="A109" s="376">
        <f>'Nov-Dez'!A9+291</f>
        <v>44427</v>
      </c>
      <c r="F109"/>
    </row>
    <row r="110" spans="1:6" ht="12.75">
      <c r="A110" s="376"/>
      <c r="F110"/>
    </row>
    <row r="111" spans="1:6" ht="12.75">
      <c r="A111" s="376">
        <f>'Nov-Dez'!A9+292</f>
        <v>44428</v>
      </c>
      <c r="F111"/>
    </row>
    <row r="112" spans="1:6" ht="12.75">
      <c r="A112" s="376"/>
      <c r="F112"/>
    </row>
    <row r="113" spans="1:6" ht="12.75">
      <c r="A113" s="376">
        <f>'Nov-Dez'!A9+293</f>
        <v>44429</v>
      </c>
      <c r="F113"/>
    </row>
    <row r="114" spans="1:6" ht="12.75">
      <c r="A114" s="376"/>
      <c r="F114"/>
    </row>
    <row r="115" spans="1:6" ht="12.75">
      <c r="A115" s="376">
        <f>'Nov-Dez'!A9+294</f>
        <v>44430</v>
      </c>
      <c r="F115"/>
    </row>
    <row r="116" spans="1:6" ht="12.75">
      <c r="A116" s="376"/>
      <c r="F116"/>
    </row>
    <row r="117" spans="1:6" ht="12.75">
      <c r="A117" s="376">
        <f>'Nov-Dez'!A9+295</f>
        <v>44431</v>
      </c>
      <c r="F117"/>
    </row>
    <row r="118" spans="1:6" ht="12.75">
      <c r="A118" s="376"/>
      <c r="F118"/>
    </row>
    <row r="119" spans="1:6" ht="12.75">
      <c r="A119" s="376">
        <f>'Nov-Dez'!A9+296</f>
        <v>44432</v>
      </c>
      <c r="F119"/>
    </row>
    <row r="120" spans="1:6" ht="12.75">
      <c r="A120" s="376"/>
      <c r="F120"/>
    </row>
    <row r="121" spans="1:6" ht="12.75">
      <c r="A121" s="376">
        <f>'Nov-Dez'!A9+297</f>
        <v>44433</v>
      </c>
      <c r="F121"/>
    </row>
    <row r="122" spans="1:6" ht="12.75">
      <c r="A122" s="376"/>
      <c r="F122"/>
    </row>
    <row r="123" spans="1:6" ht="12.75">
      <c r="A123" s="376">
        <f>'Nov-Dez'!A9+298</f>
        <v>44434</v>
      </c>
      <c r="F123"/>
    </row>
    <row r="124" spans="1:6" ht="12.75">
      <c r="A124" s="376"/>
      <c r="F124"/>
    </row>
    <row r="125" spans="1:6" ht="12.75">
      <c r="A125" s="376">
        <f>'Nov-Dez'!A9+299</f>
        <v>44435</v>
      </c>
      <c r="F125"/>
    </row>
    <row r="126" spans="1:6" ht="12.75">
      <c r="A126" s="376"/>
      <c r="F126"/>
    </row>
    <row r="127" spans="1:6" ht="12.75">
      <c r="A127" s="376">
        <f>'Nov-Dez'!A9+300</f>
        <v>44436</v>
      </c>
      <c r="F127"/>
    </row>
    <row r="128" spans="1:6" ht="12.75">
      <c r="A128" s="376"/>
      <c r="F128"/>
    </row>
    <row r="129" spans="1:6" ht="12.75">
      <c r="A129" s="376">
        <f>'Nov-Dez'!A9+301</f>
        <v>44437</v>
      </c>
      <c r="F129"/>
    </row>
    <row r="130" spans="1:6" ht="12.75">
      <c r="A130" s="376"/>
      <c r="F130"/>
    </row>
    <row r="131" spans="1:6" ht="12.75">
      <c r="A131" s="382">
        <f>'Nov-Dez'!A9+302</f>
        <v>44438</v>
      </c>
      <c r="F131"/>
    </row>
    <row r="132" spans="1:6" ht="12.75">
      <c r="A132" s="382"/>
      <c r="F132"/>
    </row>
    <row r="133" spans="1:6" ht="12.75">
      <c r="A133" s="382">
        <f>'Nov-Dez'!A9+303</f>
        <v>44439</v>
      </c>
      <c r="F133"/>
    </row>
    <row r="134" spans="1:6" ht="12.75">
      <c r="A134" s="382"/>
      <c r="F134"/>
    </row>
    <row r="135" spans="1:6" ht="12.75">
      <c r="A135" s="383"/>
      <c r="F135"/>
    </row>
    <row r="136" spans="1:6" ht="12.75">
      <c r="A136" s="383"/>
      <c r="F136"/>
    </row>
  </sheetData>
  <sheetProtection selectLockedCells="1" selectUnlockedCells="1"/>
  <mergeCells count="64">
    <mergeCell ref="A29:A30"/>
    <mergeCell ref="A31:A32"/>
    <mergeCell ref="A9:A10"/>
    <mergeCell ref="A11:A12"/>
    <mergeCell ref="A13:A14"/>
    <mergeCell ref="A15:A16"/>
    <mergeCell ref="A17:A18"/>
    <mergeCell ref="A19:A20"/>
    <mergeCell ref="A21:A22"/>
    <mergeCell ref="A23:A24"/>
    <mergeCell ref="A25:A26"/>
    <mergeCell ref="A27:A28"/>
    <mergeCell ref="A53:A54"/>
    <mergeCell ref="A55:A56"/>
    <mergeCell ref="A33:A34"/>
    <mergeCell ref="A35:A36"/>
    <mergeCell ref="A37:A38"/>
    <mergeCell ref="A39:A40"/>
    <mergeCell ref="A41:A42"/>
    <mergeCell ref="A43:A44"/>
    <mergeCell ref="A45:A46"/>
    <mergeCell ref="A47:A48"/>
    <mergeCell ref="A49:A50"/>
    <mergeCell ref="A51:A52"/>
    <mergeCell ref="A77:A78"/>
    <mergeCell ref="A79:A80"/>
    <mergeCell ref="A57:A58"/>
    <mergeCell ref="A59:A60"/>
    <mergeCell ref="A61:A62"/>
    <mergeCell ref="A63:A64"/>
    <mergeCell ref="A65:A66"/>
    <mergeCell ref="A67:A68"/>
    <mergeCell ref="A69:A70"/>
    <mergeCell ref="A71:A72"/>
    <mergeCell ref="A73:A74"/>
    <mergeCell ref="A75:A76"/>
    <mergeCell ref="A101:A102"/>
    <mergeCell ref="A103:A104"/>
    <mergeCell ref="A81:A82"/>
    <mergeCell ref="A83:A84"/>
    <mergeCell ref="A85:A86"/>
    <mergeCell ref="A87:A88"/>
    <mergeCell ref="A89:A90"/>
    <mergeCell ref="A91:A92"/>
    <mergeCell ref="A93:A94"/>
    <mergeCell ref="A95:A96"/>
    <mergeCell ref="A97:A98"/>
    <mergeCell ref="A99:A100"/>
    <mergeCell ref="A113:A114"/>
    <mergeCell ref="A115:A116"/>
    <mergeCell ref="A117:A118"/>
    <mergeCell ref="A119:A120"/>
    <mergeCell ref="A105:A106"/>
    <mergeCell ref="A107:A108"/>
    <mergeCell ref="A109:A110"/>
    <mergeCell ref="A111:A112"/>
    <mergeCell ref="A133:A134"/>
    <mergeCell ref="A135:A136"/>
    <mergeCell ref="A121:A122"/>
    <mergeCell ref="A123:A124"/>
    <mergeCell ref="A129:A130"/>
    <mergeCell ref="A131:A132"/>
    <mergeCell ref="A125:A126"/>
    <mergeCell ref="A127:A128"/>
  </mergeCells>
  <conditionalFormatting sqref="A9:A136">
    <cfRule type="cellIs" priority="1" dxfId="3" operator="equal" stopIfTrue="1">
      <formula>1</formula>
    </cfRule>
    <cfRule type="cellIs" priority="2" dxfId="2" operator="equal" stopIfTrue="1">
      <formula>7</formula>
    </cfRule>
  </conditionalFormatting>
  <printOptions/>
  <pageMargins left="0.7875" right="0.7875" top="0.9840277777777777" bottom="0.9840277777777777" header="0.5118055555555555" footer="0.5118055555555555"/>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M136"/>
  <sheetViews>
    <sheetView zoomScalePageLayoutView="0" workbookViewId="0" topLeftCell="A1">
      <pane ySplit="7" topLeftCell="BM8" activePane="bottomLeft" state="frozen"/>
      <selection pane="topLeft" activeCell="D21" sqref="D21:G21"/>
      <selection pane="bottomLeft" activeCell="A2" sqref="A2"/>
    </sheetView>
  </sheetViews>
  <sheetFormatPr defaultColWidth="11.421875" defaultRowHeight="12.75"/>
  <cols>
    <col min="1" max="1" width="9.421875" style="0" customWidth="1"/>
    <col min="2" max="2" width="12.8515625" style="0" customWidth="1"/>
    <col min="6" max="6" width="5.28125" style="1" customWidth="1"/>
    <col min="9" max="9" width="12.28125" style="0" customWidth="1"/>
  </cols>
  <sheetData>
    <row r="1" spans="1:6" ht="14.25">
      <c r="A1" s="2" t="s">
        <v>30</v>
      </c>
      <c r="E1" s="3"/>
      <c r="F1" s="4"/>
    </row>
    <row r="2" spans="1:6" ht="12.75">
      <c r="A2" s="5">
        <f ca="1">TODAY()</f>
        <v>44267</v>
      </c>
      <c r="B2" s="6"/>
      <c r="C2" s="6"/>
      <c r="D2" s="6"/>
      <c r="E2" s="6"/>
      <c r="F2" s="7"/>
    </row>
    <row r="3" spans="1:6" ht="12.75">
      <c r="A3" s="8"/>
      <c r="B3" s="9" t="s">
        <v>0</v>
      </c>
      <c r="C3" s="10" t="s">
        <v>1</v>
      </c>
      <c r="D3" s="11" t="s">
        <v>2</v>
      </c>
      <c r="E3" s="6"/>
      <c r="F3" s="7"/>
    </row>
    <row r="4" spans="1:6" ht="12.75">
      <c r="A4" s="8"/>
      <c r="B4" s="6"/>
      <c r="C4" s="6"/>
      <c r="D4" s="6"/>
      <c r="E4" s="6"/>
      <c r="F4" s="7"/>
    </row>
    <row r="5" spans="1:7" ht="12.75">
      <c r="A5" s="12"/>
      <c r="B5" s="13" t="s">
        <v>3</v>
      </c>
      <c r="C5" s="13" t="s">
        <v>4</v>
      </c>
      <c r="D5" s="13" t="s">
        <v>5</v>
      </c>
      <c r="E5" s="13" t="s">
        <v>6</v>
      </c>
      <c r="F5" s="14" t="s">
        <v>7</v>
      </c>
      <c r="G5" s="8"/>
    </row>
    <row r="6" spans="1:7" ht="12.75">
      <c r="A6" s="12"/>
      <c r="B6" s="16" t="s">
        <v>8</v>
      </c>
      <c r="C6" s="16" t="s">
        <v>8</v>
      </c>
      <c r="D6" s="17" t="s">
        <v>8</v>
      </c>
      <c r="E6" s="18"/>
      <c r="F6" s="19" t="s">
        <v>9</v>
      </c>
      <c r="G6" s="8"/>
    </row>
    <row r="7" spans="1:7" ht="12.75">
      <c r="A7" s="3"/>
      <c r="B7" s="20">
        <f>SUM(B9:B200)</f>
        <v>0</v>
      </c>
      <c r="C7" s="20">
        <f>SUM(C9:C200)</f>
        <v>0</v>
      </c>
      <c r="D7" s="20">
        <f>SUM(D9:D200)</f>
        <v>0</v>
      </c>
      <c r="E7" s="18"/>
      <c r="F7" s="21" t="s">
        <v>10</v>
      </c>
      <c r="G7" s="8" t="s">
        <v>17</v>
      </c>
    </row>
    <row r="8" spans="1:8" ht="12.75">
      <c r="A8" s="23" t="s">
        <v>31</v>
      </c>
      <c r="B8" s="24"/>
      <c r="C8" s="25"/>
      <c r="D8" s="25"/>
      <c r="E8" s="24"/>
      <c r="F8" s="26"/>
      <c r="G8" s="8"/>
      <c r="H8" s="27"/>
    </row>
    <row r="9" spans="1:6" ht="12.75">
      <c r="A9" s="377">
        <f>'Nov-Dez'!A9+304</f>
        <v>44440</v>
      </c>
      <c r="F9"/>
    </row>
    <row r="10" spans="1:6" ht="12.75">
      <c r="A10" s="377"/>
      <c r="F10"/>
    </row>
    <row r="11" spans="1:6" ht="12.75">
      <c r="A11" s="376">
        <f>'Nov-Dez'!A9+305</f>
        <v>44441</v>
      </c>
      <c r="F11"/>
    </row>
    <row r="12" spans="1:6" ht="12.75">
      <c r="A12" s="376"/>
      <c r="F12"/>
    </row>
    <row r="13" spans="1:6" ht="12.75">
      <c r="A13" s="376">
        <f>'Nov-Dez'!A9+306</f>
        <v>44442</v>
      </c>
      <c r="F13"/>
    </row>
    <row r="14" spans="1:6" ht="12.75">
      <c r="A14" s="376"/>
      <c r="F14"/>
    </row>
    <row r="15" spans="1:6" ht="12.75">
      <c r="A15" s="376">
        <f>'Nov-Dez'!A9+307</f>
        <v>44443</v>
      </c>
      <c r="F15"/>
    </row>
    <row r="16" spans="1:6" ht="12.75">
      <c r="A16" s="376"/>
      <c r="F16"/>
    </row>
    <row r="17" spans="1:6" ht="12.75">
      <c r="A17" s="376">
        <f>'Nov-Dez'!A9+308</f>
        <v>44444</v>
      </c>
      <c r="F17"/>
    </row>
    <row r="18" spans="1:6" ht="12.75">
      <c r="A18" s="376"/>
      <c r="F18"/>
    </row>
    <row r="19" spans="1:6" ht="12.75">
      <c r="A19" s="376">
        <f>'Nov-Dez'!A9+309</f>
        <v>44445</v>
      </c>
      <c r="F19"/>
    </row>
    <row r="20" spans="1:6" ht="12.75">
      <c r="A20" s="376"/>
      <c r="F20"/>
    </row>
    <row r="21" spans="1:6" ht="12.75">
      <c r="A21" s="376">
        <f>'Nov-Dez'!A9+310</f>
        <v>44446</v>
      </c>
      <c r="F21"/>
    </row>
    <row r="22" spans="1:6" ht="12.75">
      <c r="A22" s="376"/>
      <c r="F22"/>
    </row>
    <row r="23" spans="1:6" ht="12.75">
      <c r="A23" s="376">
        <f>'Nov-Dez'!A9+311</f>
        <v>44447</v>
      </c>
      <c r="F23"/>
    </row>
    <row r="24" spans="1:6" ht="12.75">
      <c r="A24" s="376"/>
      <c r="F24"/>
    </row>
    <row r="25" spans="1:6" ht="12.75">
      <c r="A25" s="376">
        <f>'Nov-Dez'!A9+312</f>
        <v>44448</v>
      </c>
      <c r="F25"/>
    </row>
    <row r="26" spans="1:6" ht="12.75">
      <c r="A26" s="376"/>
      <c r="F26"/>
    </row>
    <row r="27" spans="1:6" ht="12.75">
      <c r="A27" s="376">
        <f>'Nov-Dez'!A9+313</f>
        <v>44449</v>
      </c>
      <c r="F27"/>
    </row>
    <row r="28" spans="1:6" ht="12.75">
      <c r="A28" s="376"/>
      <c r="F28"/>
    </row>
    <row r="29" spans="1:6" ht="12.75">
      <c r="A29" s="376">
        <f>'Nov-Dez'!A9+314</f>
        <v>44450</v>
      </c>
      <c r="F29"/>
    </row>
    <row r="30" spans="1:6" ht="12.75">
      <c r="A30" s="376"/>
      <c r="F30"/>
    </row>
    <row r="31" spans="1:6" ht="12.75">
      <c r="A31" s="376">
        <f>'Nov-Dez'!A9+315</f>
        <v>44451</v>
      </c>
      <c r="F31"/>
    </row>
    <row r="32" spans="1:6" ht="12.75">
      <c r="A32" s="376"/>
      <c r="F32"/>
    </row>
    <row r="33" spans="1:6" ht="12.75">
      <c r="A33" s="376">
        <f>'Nov-Dez'!A9+316</f>
        <v>44452</v>
      </c>
      <c r="F33"/>
    </row>
    <row r="34" spans="1:6" ht="12.75">
      <c r="A34" s="376"/>
      <c r="F34"/>
    </row>
    <row r="35" spans="1:6" ht="12.75">
      <c r="A35" s="376">
        <f>'Nov-Dez'!A9+317</f>
        <v>44453</v>
      </c>
      <c r="F35"/>
    </row>
    <row r="36" spans="1:6" ht="12.75">
      <c r="A36" s="376"/>
      <c r="F36"/>
    </row>
    <row r="37" spans="1:6" ht="12.75">
      <c r="A37" s="376">
        <f>'Nov-Dez'!A9+318</f>
        <v>44454</v>
      </c>
      <c r="F37"/>
    </row>
    <row r="38" spans="1:6" ht="12.75">
      <c r="A38" s="376"/>
      <c r="F38"/>
    </row>
    <row r="39" spans="1:6" ht="12.75">
      <c r="A39" s="376">
        <f>'Nov-Dez'!A9+319</f>
        <v>44455</v>
      </c>
      <c r="F39"/>
    </row>
    <row r="40" spans="1:6" ht="12.75">
      <c r="A40" s="376"/>
      <c r="F40"/>
    </row>
    <row r="41" spans="1:6" ht="12.75">
      <c r="A41" s="376">
        <f>'Nov-Dez'!A9+320</f>
        <v>44456</v>
      </c>
      <c r="F41"/>
    </row>
    <row r="42" spans="1:6" ht="12.75">
      <c r="A42" s="376"/>
      <c r="F42"/>
    </row>
    <row r="43" spans="1:6" ht="12.75">
      <c r="A43" s="376">
        <f>'Nov-Dez'!A9+321</f>
        <v>44457</v>
      </c>
      <c r="F43"/>
    </row>
    <row r="44" spans="1:6" ht="12.75">
      <c r="A44" s="376"/>
      <c r="F44"/>
    </row>
    <row r="45" spans="1:6" ht="12.75">
      <c r="A45" s="376">
        <f>'Nov-Dez'!A9+322</f>
        <v>44458</v>
      </c>
      <c r="F45"/>
    </row>
    <row r="46" spans="1:6" ht="12.75">
      <c r="A46" s="376"/>
      <c r="F46"/>
    </row>
    <row r="47" spans="1:13" ht="12.75">
      <c r="A47" s="376">
        <f>'Nov-Dez'!A9+323</f>
        <v>44459</v>
      </c>
      <c r="F47"/>
      <c r="L47" s="42"/>
      <c r="M47" s="42"/>
    </row>
    <row r="48" spans="1:13" ht="12.75">
      <c r="A48" s="376"/>
      <c r="F48"/>
      <c r="L48" s="42"/>
      <c r="M48" s="42"/>
    </row>
    <row r="49" spans="1:13" ht="12.75">
      <c r="A49" s="376">
        <f>'Nov-Dez'!A9+324</f>
        <v>44460</v>
      </c>
      <c r="F49"/>
      <c r="L49" s="42"/>
      <c r="M49" s="42"/>
    </row>
    <row r="50" spans="1:13" ht="12.75">
      <c r="A50" s="376"/>
      <c r="F50"/>
      <c r="L50" s="42"/>
      <c r="M50" s="42"/>
    </row>
    <row r="51" spans="1:13" ht="12.75">
      <c r="A51" s="376">
        <f>'Nov-Dez'!A9+325</f>
        <v>44461</v>
      </c>
      <c r="F51"/>
      <c r="L51" s="42"/>
      <c r="M51" s="42"/>
    </row>
    <row r="52" spans="1:13" ht="12.75">
      <c r="A52" s="376"/>
      <c r="F52"/>
      <c r="L52" s="42"/>
      <c r="M52" s="42"/>
    </row>
    <row r="53" spans="1:13" ht="12.75">
      <c r="A53" s="376">
        <f>'Nov-Dez'!A9+326</f>
        <v>44462</v>
      </c>
      <c r="F53"/>
      <c r="L53" s="42"/>
      <c r="M53" s="42"/>
    </row>
    <row r="54" spans="1:13" ht="12.75">
      <c r="A54" s="376"/>
      <c r="F54"/>
      <c r="L54" s="42"/>
      <c r="M54" s="42"/>
    </row>
    <row r="55" spans="1:13" ht="12.75">
      <c r="A55" s="376">
        <f>'Nov-Dez'!A9+327</f>
        <v>44463</v>
      </c>
      <c r="F55"/>
      <c r="L55" s="42"/>
      <c r="M55" s="42"/>
    </row>
    <row r="56" spans="1:13" ht="12.75">
      <c r="A56" s="376"/>
      <c r="F56"/>
      <c r="L56" s="42"/>
      <c r="M56" s="42"/>
    </row>
    <row r="57" spans="1:13" ht="12.75">
      <c r="A57" s="376">
        <f>'Nov-Dez'!A9+328</f>
        <v>44464</v>
      </c>
      <c r="F57"/>
      <c r="L57" s="42"/>
      <c r="M57" s="42"/>
    </row>
    <row r="58" spans="1:13" ht="12.75">
      <c r="A58" s="376"/>
      <c r="F58"/>
      <c r="L58" s="42"/>
      <c r="M58" s="42"/>
    </row>
    <row r="59" spans="1:13" ht="12.75">
      <c r="A59" s="376">
        <f>'Nov-Dez'!A9+329</f>
        <v>44465</v>
      </c>
      <c r="F59"/>
      <c r="L59" s="42"/>
      <c r="M59" s="42"/>
    </row>
    <row r="60" spans="1:13" ht="12.75">
      <c r="A60" s="376"/>
      <c r="F60"/>
      <c r="L60" s="42"/>
      <c r="M60" s="42"/>
    </row>
    <row r="61" spans="1:13" ht="12.75">
      <c r="A61" s="376">
        <f>'Nov-Dez'!A9+330</f>
        <v>44466</v>
      </c>
      <c r="F61"/>
      <c r="M61" s="42"/>
    </row>
    <row r="62" spans="1:13" ht="12.75">
      <c r="A62" s="376"/>
      <c r="F62"/>
      <c r="M62" s="42"/>
    </row>
    <row r="63" spans="1:6" ht="12.75">
      <c r="A63" s="376">
        <f>'Nov-Dez'!A9+331</f>
        <v>44467</v>
      </c>
      <c r="F63"/>
    </row>
    <row r="64" spans="1:13" ht="12.75">
      <c r="A64" s="376"/>
      <c r="F64"/>
      <c r="M64" s="42"/>
    </row>
    <row r="65" spans="1:13" ht="12.75">
      <c r="A65" s="376">
        <f>'Nov-Dez'!A9+332</f>
        <v>44468</v>
      </c>
      <c r="F65"/>
      <c r="M65" s="42"/>
    </row>
    <row r="66" spans="1:13" ht="12.75">
      <c r="A66" s="376"/>
      <c r="F66"/>
      <c r="M66" s="42"/>
    </row>
    <row r="67" spans="1:13" ht="12.75">
      <c r="A67" s="376">
        <f>'Nov-Dez'!A9+333</f>
        <v>44469</v>
      </c>
      <c r="F67"/>
      <c r="M67" s="42"/>
    </row>
    <row r="68" spans="1:13" ht="12.75">
      <c r="A68" s="376"/>
      <c r="F68"/>
      <c r="M68" s="42" t="s">
        <v>32</v>
      </c>
    </row>
    <row r="69" spans="1:6" ht="12.75">
      <c r="A69" s="333"/>
      <c r="F69"/>
    </row>
    <row r="70" spans="1:6" ht="13.5" thickBot="1">
      <c r="A70" s="332" t="s">
        <v>33</v>
      </c>
      <c r="F70"/>
    </row>
    <row r="71" spans="1:6" ht="12.75">
      <c r="A71" s="377">
        <f>'Nov-Dez'!A9+334</f>
        <v>44470</v>
      </c>
      <c r="F71"/>
    </row>
    <row r="72" spans="1:6" ht="12.75">
      <c r="A72" s="377"/>
      <c r="F72"/>
    </row>
    <row r="73" spans="1:6" ht="12.75">
      <c r="A73" s="376">
        <f>'Nov-Dez'!A9+335</f>
        <v>44471</v>
      </c>
      <c r="F73"/>
    </row>
    <row r="74" spans="1:6" ht="12.75">
      <c r="A74" s="376"/>
      <c r="F74"/>
    </row>
    <row r="75" spans="1:6" ht="12.75">
      <c r="A75" s="376">
        <f>'Nov-Dez'!A9+336</f>
        <v>44472</v>
      </c>
      <c r="F75"/>
    </row>
    <row r="76" spans="1:6" ht="12.75">
      <c r="A76" s="376"/>
      <c r="F76"/>
    </row>
    <row r="77" spans="1:6" ht="12.75">
      <c r="A77" s="376">
        <f>'Nov-Dez'!A9+337</f>
        <v>44473</v>
      </c>
      <c r="F77"/>
    </row>
    <row r="78" spans="1:6" ht="12.75">
      <c r="A78" s="376"/>
      <c r="F78"/>
    </row>
    <row r="79" spans="1:6" ht="12.75">
      <c r="A79" s="376">
        <f>'Nov-Dez'!A9+338</f>
        <v>44474</v>
      </c>
      <c r="F79"/>
    </row>
    <row r="80" spans="1:6" ht="12.75">
      <c r="A80" s="376"/>
      <c r="F80"/>
    </row>
    <row r="81" spans="1:6" ht="12.75">
      <c r="A81" s="376">
        <f>'Nov-Dez'!A9+339</f>
        <v>44475</v>
      </c>
      <c r="F81"/>
    </row>
    <row r="82" spans="1:6" ht="12.75">
      <c r="A82" s="376"/>
      <c r="F82"/>
    </row>
    <row r="83" spans="1:6" ht="12.75">
      <c r="A83" s="376">
        <f>'Nov-Dez'!A9+340</f>
        <v>44476</v>
      </c>
      <c r="F83"/>
    </row>
    <row r="84" spans="1:6" ht="12.75">
      <c r="A84" s="376"/>
      <c r="F84"/>
    </row>
    <row r="85" spans="1:6" ht="12.75">
      <c r="A85" s="376">
        <f>'Nov-Dez'!A9+341</f>
        <v>44477</v>
      </c>
      <c r="F85"/>
    </row>
    <row r="86" spans="1:6" ht="12.75">
      <c r="A86" s="376"/>
      <c r="F86"/>
    </row>
    <row r="87" spans="1:6" ht="12.75">
      <c r="A87" s="376">
        <f>'Nov-Dez'!A9+342</f>
        <v>44478</v>
      </c>
      <c r="F87"/>
    </row>
    <row r="88" spans="1:6" ht="12.75">
      <c r="A88" s="376"/>
      <c r="F88"/>
    </row>
    <row r="89" spans="1:6" ht="12.75">
      <c r="A89" s="376">
        <f>'Nov-Dez'!A9+343</f>
        <v>44479</v>
      </c>
      <c r="F89"/>
    </row>
    <row r="90" spans="1:6" ht="12.75">
      <c r="A90" s="376"/>
      <c r="F90"/>
    </row>
    <row r="91" spans="1:6" ht="12.75">
      <c r="A91" s="376">
        <f>'Nov-Dez'!A9+344</f>
        <v>44480</v>
      </c>
      <c r="F91"/>
    </row>
    <row r="92" spans="1:6" ht="12.75">
      <c r="A92" s="376"/>
      <c r="F92"/>
    </row>
    <row r="93" spans="1:6" ht="12.75">
      <c r="A93" s="376">
        <f>'Nov-Dez'!A9+345</f>
        <v>44481</v>
      </c>
      <c r="F93"/>
    </row>
    <row r="94" spans="1:6" ht="12.75">
      <c r="A94" s="376"/>
      <c r="F94"/>
    </row>
    <row r="95" spans="1:6" ht="12.75">
      <c r="A95" s="376">
        <f>'Nov-Dez'!A9+346</f>
        <v>44482</v>
      </c>
      <c r="F95"/>
    </row>
    <row r="96" spans="1:6" ht="12.75">
      <c r="A96" s="376"/>
      <c r="F96"/>
    </row>
    <row r="97" spans="1:6" ht="12.75">
      <c r="A97" s="376">
        <f>'Nov-Dez'!A9+347</f>
        <v>44483</v>
      </c>
      <c r="F97"/>
    </row>
    <row r="98" spans="1:6" ht="12.75">
      <c r="A98" s="376"/>
      <c r="F98"/>
    </row>
    <row r="99" spans="1:6" ht="12.75">
      <c r="A99" s="376">
        <f>'Nov-Dez'!A9+348</f>
        <v>44484</v>
      </c>
      <c r="F99"/>
    </row>
    <row r="100" spans="1:6" ht="12.75">
      <c r="A100" s="376"/>
      <c r="F100"/>
    </row>
    <row r="101" spans="1:6" ht="12.75">
      <c r="A101" s="376">
        <f>'Nov-Dez'!A9+349</f>
        <v>44485</v>
      </c>
      <c r="F101"/>
    </row>
    <row r="102" spans="1:6" ht="12.75">
      <c r="A102" s="376"/>
      <c r="F102"/>
    </row>
    <row r="103" spans="1:6" ht="12.75">
      <c r="A103" s="376">
        <f>'Nov-Dez'!A9+350</f>
        <v>44486</v>
      </c>
      <c r="F103"/>
    </row>
    <row r="104" spans="1:6" ht="12.75">
      <c r="A104" s="376"/>
      <c r="F104"/>
    </row>
    <row r="105" spans="1:6" ht="12.75">
      <c r="A105" s="376">
        <f>'Nov-Dez'!A9+351</f>
        <v>44487</v>
      </c>
      <c r="F105"/>
    </row>
    <row r="106" spans="1:6" ht="12.75">
      <c r="A106" s="376"/>
      <c r="F106"/>
    </row>
    <row r="107" spans="1:6" ht="12.75">
      <c r="A107" s="376">
        <f>'Nov-Dez'!A9+352</f>
        <v>44488</v>
      </c>
      <c r="F107"/>
    </row>
    <row r="108" spans="1:6" ht="12.75">
      <c r="A108" s="376"/>
      <c r="F108"/>
    </row>
    <row r="109" spans="1:6" ht="12.75">
      <c r="A109" s="376">
        <f>'Nov-Dez'!A9+353</f>
        <v>44489</v>
      </c>
      <c r="F109"/>
    </row>
    <row r="110" spans="1:6" ht="12.75">
      <c r="A110" s="376"/>
      <c r="F110"/>
    </row>
    <row r="111" spans="1:6" ht="12.75">
      <c r="A111" s="376">
        <f>'Nov-Dez'!A9+354</f>
        <v>44490</v>
      </c>
      <c r="F111"/>
    </row>
    <row r="112" spans="1:6" ht="12.75">
      <c r="A112" s="376"/>
      <c r="F112"/>
    </row>
    <row r="113" spans="1:6" ht="12.75">
      <c r="A113" s="376">
        <f>'Nov-Dez'!A9+355</f>
        <v>44491</v>
      </c>
      <c r="F113"/>
    </row>
    <row r="114" spans="1:6" ht="12.75">
      <c r="A114" s="376"/>
      <c r="F114"/>
    </row>
    <row r="115" spans="1:6" ht="12.75">
      <c r="A115" s="376">
        <f>'Nov-Dez'!A9+356</f>
        <v>44492</v>
      </c>
      <c r="F115"/>
    </row>
    <row r="116" spans="1:6" ht="12.75">
      <c r="A116" s="376"/>
      <c r="F116"/>
    </row>
    <row r="117" spans="1:6" ht="12.75">
      <c r="A117" s="376">
        <f>'Nov-Dez'!A9+357</f>
        <v>44493</v>
      </c>
      <c r="F117"/>
    </row>
    <row r="118" spans="1:6" ht="12.75">
      <c r="A118" s="376"/>
      <c r="F118"/>
    </row>
    <row r="119" spans="1:6" ht="12.75">
      <c r="A119" s="376">
        <f>'Nov-Dez'!A9+358</f>
        <v>44494</v>
      </c>
      <c r="F119"/>
    </row>
    <row r="120" spans="1:6" ht="12.75">
      <c r="A120" s="376"/>
      <c r="F120"/>
    </row>
    <row r="121" spans="1:6" ht="12.75">
      <c r="A121" s="376">
        <f>'Nov-Dez'!A9+359</f>
        <v>44495</v>
      </c>
      <c r="F121"/>
    </row>
    <row r="122" spans="1:6" ht="12.75">
      <c r="A122" s="376"/>
      <c r="F122"/>
    </row>
    <row r="123" spans="1:6" ht="12.75">
      <c r="A123" s="376">
        <f>'Nov-Dez'!A9+360</f>
        <v>44496</v>
      </c>
      <c r="F123"/>
    </row>
    <row r="124" spans="1:6" ht="12.75">
      <c r="A124" s="376"/>
      <c r="F124"/>
    </row>
    <row r="125" spans="1:6" ht="12.75">
      <c r="A125" s="376">
        <f>'Nov-Dez'!A9+361</f>
        <v>44497</v>
      </c>
      <c r="F125"/>
    </row>
    <row r="126" spans="1:6" ht="12.75">
      <c r="A126" s="376"/>
      <c r="F126"/>
    </row>
    <row r="127" spans="1:6" ht="12.75">
      <c r="A127" s="376">
        <f>'Nov-Dez'!A9+362</f>
        <v>44498</v>
      </c>
      <c r="F127"/>
    </row>
    <row r="128" spans="1:6" ht="12.75">
      <c r="A128" s="376"/>
      <c r="F128"/>
    </row>
    <row r="129" spans="1:6" ht="12.75">
      <c r="A129" s="376">
        <f>'Nov-Dez'!A9+363</f>
        <v>44499</v>
      </c>
      <c r="F129"/>
    </row>
    <row r="130" spans="1:6" ht="12.75">
      <c r="A130" s="376"/>
      <c r="F130"/>
    </row>
    <row r="131" spans="1:6" ht="12.75">
      <c r="A131" s="382">
        <f>'Nov-Dez'!A9+364</f>
        <v>44500</v>
      </c>
      <c r="F131"/>
    </row>
    <row r="132" spans="1:6" ht="12.75">
      <c r="A132" s="382"/>
      <c r="F132"/>
    </row>
    <row r="133" spans="1:6" ht="13.5" thickBot="1">
      <c r="A133" s="386"/>
      <c r="F133"/>
    </row>
    <row r="134" spans="1:6" ht="12.75">
      <c r="A134" s="387"/>
      <c r="F134"/>
    </row>
    <row r="135" ht="12.75">
      <c r="H135" s="42"/>
    </row>
    <row r="136" ht="12.75">
      <c r="H136" s="42"/>
    </row>
  </sheetData>
  <sheetProtection selectLockedCells="1" selectUnlockedCells="1"/>
  <mergeCells count="62">
    <mergeCell ref="A17:A18"/>
    <mergeCell ref="A19:A20"/>
    <mergeCell ref="A9:A10"/>
    <mergeCell ref="A11:A12"/>
    <mergeCell ref="A13:A14"/>
    <mergeCell ref="A15:A16"/>
    <mergeCell ref="A41:A42"/>
    <mergeCell ref="A43:A44"/>
    <mergeCell ref="A21:A22"/>
    <mergeCell ref="A23:A24"/>
    <mergeCell ref="A25:A26"/>
    <mergeCell ref="A27:A28"/>
    <mergeCell ref="A29:A30"/>
    <mergeCell ref="A31:A32"/>
    <mergeCell ref="A33:A34"/>
    <mergeCell ref="A35:A36"/>
    <mergeCell ref="A37:A38"/>
    <mergeCell ref="A39:A40"/>
    <mergeCell ref="A65:A66"/>
    <mergeCell ref="A67:A68"/>
    <mergeCell ref="A45:A46"/>
    <mergeCell ref="A47:A48"/>
    <mergeCell ref="A49:A50"/>
    <mergeCell ref="A51:A52"/>
    <mergeCell ref="A53:A54"/>
    <mergeCell ref="A55:A56"/>
    <mergeCell ref="A57:A58"/>
    <mergeCell ref="A59:A60"/>
    <mergeCell ref="A61:A62"/>
    <mergeCell ref="A63:A64"/>
    <mergeCell ref="A91:A92"/>
    <mergeCell ref="A93:A94"/>
    <mergeCell ref="A71:A72"/>
    <mergeCell ref="A73:A74"/>
    <mergeCell ref="A75:A76"/>
    <mergeCell ref="A77:A78"/>
    <mergeCell ref="A79:A80"/>
    <mergeCell ref="A81:A82"/>
    <mergeCell ref="A83:A84"/>
    <mergeCell ref="A85:A86"/>
    <mergeCell ref="A87:A88"/>
    <mergeCell ref="A89:A90"/>
    <mergeCell ref="A115:A116"/>
    <mergeCell ref="A117:A118"/>
    <mergeCell ref="A95:A96"/>
    <mergeCell ref="A97:A98"/>
    <mergeCell ref="A99:A100"/>
    <mergeCell ref="A101:A102"/>
    <mergeCell ref="A103:A104"/>
    <mergeCell ref="A105:A106"/>
    <mergeCell ref="A107:A108"/>
    <mergeCell ref="A109:A110"/>
    <mergeCell ref="A111:A112"/>
    <mergeCell ref="A113:A114"/>
    <mergeCell ref="A131:A132"/>
    <mergeCell ref="A133:A134"/>
    <mergeCell ref="A119:A120"/>
    <mergeCell ref="A121:A122"/>
    <mergeCell ref="A123:A124"/>
    <mergeCell ref="A125:A126"/>
    <mergeCell ref="A127:A128"/>
    <mergeCell ref="A129:A130"/>
  </mergeCells>
  <conditionalFormatting sqref="A9:A68 A71:A134">
    <cfRule type="cellIs" priority="1" dxfId="3" operator="equal" stopIfTrue="1">
      <formula>1</formula>
    </cfRule>
    <cfRule type="cellIs" priority="2" dxfId="2" operator="equal" stopIfTrue="1">
      <formula>7</formula>
    </cfRule>
  </conditionalFormatting>
  <printOptions/>
  <pageMargins left="0.7875" right="0.7875" top="0.9840277777777777" bottom="0.9840277777777777" header="0.5118055555555555" footer="0.5118055555555555"/>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F164"/>
  <sheetViews>
    <sheetView tabSelected="1" zoomScalePageLayoutView="0" workbookViewId="0" topLeftCell="A1">
      <pane xSplit="1" ySplit="2" topLeftCell="B3" activePane="bottomRight" state="frozen"/>
      <selection pane="topLeft" activeCell="D21" sqref="D21:G21"/>
      <selection pane="topRight" activeCell="D21" sqref="D21:G21"/>
      <selection pane="bottomLeft" activeCell="D21" sqref="D21:G21"/>
      <selection pane="bottomRight" activeCell="A2" sqref="A2"/>
    </sheetView>
  </sheetViews>
  <sheetFormatPr defaultColWidth="11.421875" defaultRowHeight="12.75"/>
  <cols>
    <col min="2" max="2" width="7.8515625" style="0" customWidth="1"/>
    <col min="3" max="3" width="17.57421875" style="0" customWidth="1"/>
    <col min="4" max="4" width="8.28125" style="0" customWidth="1"/>
    <col min="5" max="5" width="14.57421875" style="0" customWidth="1"/>
    <col min="6" max="6" width="7.8515625" style="0" customWidth="1"/>
    <col min="7" max="7" width="14.00390625" style="0" customWidth="1"/>
    <col min="8" max="8" width="8.7109375" style="0" customWidth="1"/>
    <col min="9" max="9" width="14.28125" style="0" customWidth="1"/>
    <col min="10" max="10" width="7.57421875" style="0" customWidth="1"/>
    <col min="11" max="11" width="13.421875" style="0" customWidth="1"/>
    <col min="12" max="12" width="8.00390625" style="0" customWidth="1"/>
    <col min="13" max="13" width="16.00390625" style="0" customWidth="1"/>
    <col min="14" max="14" width="8.00390625" style="0" customWidth="1"/>
    <col min="15" max="15" width="15.140625" style="22" customWidth="1"/>
    <col min="16" max="16" width="8.421875" style="0" customWidth="1"/>
    <col min="17" max="17" width="14.28125" style="22" customWidth="1"/>
    <col min="18" max="18" width="7.7109375" style="0" customWidth="1"/>
    <col min="19" max="19" width="15.421875" style="0" customWidth="1"/>
    <col min="20" max="20" width="8.57421875" style="0" customWidth="1"/>
    <col min="21" max="21" width="14.8515625" style="0" customWidth="1"/>
    <col min="22" max="22" width="8.57421875" style="0" customWidth="1"/>
    <col min="23" max="23" width="15.140625" style="0" customWidth="1"/>
    <col min="24" max="24" width="8.57421875" style="0" customWidth="1"/>
    <col min="25" max="25" width="17.8515625" style="0" customWidth="1"/>
    <col min="28" max="28" width="8.00390625" style="0" customWidth="1"/>
    <col min="29" max="29" width="7.8515625" style="0" customWidth="1"/>
    <col min="30" max="30" width="7.7109375" style="0" customWidth="1"/>
    <col min="31" max="31" width="5.421875" style="0" customWidth="1"/>
    <col min="32" max="33" width="7.7109375" style="0" customWidth="1"/>
    <col min="34" max="34" width="7.57421875" style="0" customWidth="1"/>
    <col min="35" max="35" width="5.421875" style="0" customWidth="1"/>
    <col min="36" max="36" width="5.28125" style="0" customWidth="1"/>
    <col min="37" max="37" width="5.140625" style="0" customWidth="1"/>
    <col min="38" max="38" width="5.00390625" style="0" customWidth="1"/>
    <col min="39" max="39" width="5.421875" style="0" customWidth="1"/>
    <col min="40" max="41" width="5.7109375" style="0" customWidth="1"/>
    <col min="42" max="42" width="5.57421875" style="0" customWidth="1"/>
    <col min="43" max="43" width="5.421875" style="0" customWidth="1"/>
    <col min="44" max="44" width="5.00390625" style="0" customWidth="1"/>
    <col min="45" max="45" width="5.140625" style="0" customWidth="1"/>
    <col min="46" max="46" width="5.421875" style="0" customWidth="1"/>
    <col min="47" max="47" width="5.28125" style="0" customWidth="1"/>
    <col min="48" max="48" width="7.57421875" style="0" customWidth="1"/>
    <col min="49" max="49" width="5.421875" style="0" customWidth="1"/>
    <col min="50" max="51" width="7.7109375" style="0" customWidth="1"/>
    <col min="52" max="52" width="5.421875" style="0" customWidth="1"/>
    <col min="53" max="53" width="7.7109375" style="0" customWidth="1"/>
    <col min="54" max="54" width="7.8515625" style="0" customWidth="1"/>
    <col min="55" max="55" width="5.421875" style="0" customWidth="1"/>
    <col min="56" max="56" width="8.00390625" style="0" customWidth="1"/>
    <col min="57" max="57" width="5.421875" style="0" customWidth="1"/>
  </cols>
  <sheetData>
    <row r="1" spans="1:24" ht="13.5" thickBot="1">
      <c r="A1" s="109" t="s">
        <v>34</v>
      </c>
      <c r="B1" s="110"/>
      <c r="C1" s="111" t="s">
        <v>92</v>
      </c>
      <c r="D1" s="112"/>
      <c r="E1" s="113"/>
      <c r="F1" s="114" t="s">
        <v>93</v>
      </c>
      <c r="G1" s="61"/>
      <c r="K1" s="61"/>
      <c r="L1" s="61"/>
      <c r="M1" s="111"/>
      <c r="N1" s="115" t="s">
        <v>94</v>
      </c>
      <c r="O1" s="62"/>
      <c r="Q1" s="116"/>
      <c r="R1" s="117"/>
      <c r="S1" s="118"/>
      <c r="W1" s="62"/>
      <c r="X1" s="51" t="s">
        <v>95</v>
      </c>
    </row>
    <row r="2" spans="1:25" ht="13.5" thickBot="1">
      <c r="A2" s="119">
        <f ca="1">TODAY()</f>
        <v>44267</v>
      </c>
      <c r="B2" s="120" t="s">
        <v>96</v>
      </c>
      <c r="C2" s="121"/>
      <c r="D2" s="122" t="s">
        <v>97</v>
      </c>
      <c r="E2" s="121"/>
      <c r="F2" s="123" t="s">
        <v>98</v>
      </c>
      <c r="G2" s="121"/>
      <c r="H2" s="122" t="s">
        <v>99</v>
      </c>
      <c r="I2" s="121"/>
      <c r="J2" s="336" t="s">
        <v>22</v>
      </c>
      <c r="K2" s="120"/>
      <c r="L2" s="124" t="s">
        <v>23</v>
      </c>
      <c r="M2" s="121"/>
      <c r="N2" s="124" t="s">
        <v>25</v>
      </c>
      <c r="O2" s="125"/>
      <c r="P2" s="126" t="s">
        <v>26</v>
      </c>
      <c r="Q2" s="125"/>
      <c r="R2" s="127" t="s">
        <v>28</v>
      </c>
      <c r="S2" s="128"/>
      <c r="T2" s="126" t="s">
        <v>100</v>
      </c>
      <c r="U2" s="125"/>
      <c r="V2" s="126" t="s">
        <v>101</v>
      </c>
      <c r="W2" s="121"/>
      <c r="X2" s="122" t="s">
        <v>102</v>
      </c>
      <c r="Y2" s="121"/>
    </row>
    <row r="3" spans="1:25" ht="12.75" customHeight="1" thickBot="1" thickTop="1">
      <c r="A3" s="56"/>
      <c r="B3" s="396">
        <f>'Nov-Dez'!A9</f>
        <v>44136</v>
      </c>
      <c r="C3" s="129"/>
      <c r="D3" s="396">
        <f>B3+30</f>
        <v>44166</v>
      </c>
      <c r="E3" s="341" t="s">
        <v>310</v>
      </c>
      <c r="F3" s="398">
        <f>B3+61</f>
        <v>44197</v>
      </c>
      <c r="G3" s="363" t="s">
        <v>310</v>
      </c>
      <c r="H3" s="396">
        <f>B3+92</f>
        <v>44228</v>
      </c>
      <c r="I3" s="345" t="s">
        <v>310</v>
      </c>
      <c r="J3" s="399">
        <v>44256</v>
      </c>
      <c r="K3" s="349" t="s">
        <v>310</v>
      </c>
      <c r="L3" s="396">
        <f>J3+31</f>
        <v>44287</v>
      </c>
      <c r="M3" s="131" t="s">
        <v>310</v>
      </c>
      <c r="N3" s="396">
        <f>J3+61</f>
        <v>44317</v>
      </c>
      <c r="O3" s="353" t="s">
        <v>310</v>
      </c>
      <c r="P3" s="396">
        <f>J3+92</f>
        <v>44348</v>
      </c>
      <c r="Q3" s="131" t="s">
        <v>323</v>
      </c>
      <c r="R3" s="396">
        <f>J3+122</f>
        <v>44378</v>
      </c>
      <c r="S3" s="130" t="s">
        <v>327</v>
      </c>
      <c r="T3" s="396">
        <f>J3+153</f>
        <v>44409</v>
      </c>
      <c r="U3" s="131" t="s">
        <v>321</v>
      </c>
      <c r="V3" s="396">
        <f>J3+184</f>
        <v>44440</v>
      </c>
      <c r="W3" s="131" t="s">
        <v>289</v>
      </c>
      <c r="X3" s="396">
        <f>J3+214</f>
        <v>44470</v>
      </c>
      <c r="Y3" s="130"/>
    </row>
    <row r="4" spans="1:25" ht="13.5" thickBot="1">
      <c r="A4" s="58"/>
      <c r="B4" s="396"/>
      <c r="C4" s="133"/>
      <c r="D4" s="396"/>
      <c r="E4" s="133"/>
      <c r="F4" s="398"/>
      <c r="G4" s="348"/>
      <c r="H4" s="396"/>
      <c r="I4" s="346"/>
      <c r="J4" s="400"/>
      <c r="K4" s="350"/>
      <c r="L4" s="396"/>
      <c r="M4" s="133"/>
      <c r="N4" s="396"/>
      <c r="O4" s="348"/>
      <c r="P4" s="396"/>
      <c r="Q4" s="133"/>
      <c r="R4" s="396"/>
      <c r="S4" s="133"/>
      <c r="T4" s="396"/>
      <c r="U4" s="133"/>
      <c r="V4" s="396"/>
      <c r="W4" s="133"/>
      <c r="X4" s="396"/>
      <c r="Y4" s="133"/>
    </row>
    <row r="5" spans="2:25" ht="12.75" customHeight="1" thickTop="1">
      <c r="B5" s="391">
        <f>B3+1</f>
        <v>44137</v>
      </c>
      <c r="C5" s="131"/>
      <c r="D5" s="396">
        <f>B3+31</f>
        <v>44167</v>
      </c>
      <c r="E5" s="341" t="s">
        <v>310</v>
      </c>
      <c r="F5" s="396">
        <f>B3+62</f>
        <v>44198</v>
      </c>
      <c r="G5" s="363" t="s">
        <v>310</v>
      </c>
      <c r="H5" s="396">
        <f>B3+93</f>
        <v>44229</v>
      </c>
      <c r="I5" s="347" t="s">
        <v>321</v>
      </c>
      <c r="J5" s="396">
        <f>J3+1</f>
        <v>44257</v>
      </c>
      <c r="K5" s="347" t="s">
        <v>310</v>
      </c>
      <c r="L5" s="396">
        <f>J3+32</f>
        <v>44288</v>
      </c>
      <c r="M5" s="131" t="s">
        <v>310</v>
      </c>
      <c r="N5" s="396">
        <f>J3+62</f>
        <v>44318</v>
      </c>
      <c r="O5" s="354" t="s">
        <v>321</v>
      </c>
      <c r="P5" s="396">
        <f>J3+93</f>
        <v>44349</v>
      </c>
      <c r="Q5" s="131" t="s">
        <v>323</v>
      </c>
      <c r="R5" s="396">
        <f>J3+123</f>
        <v>44379</v>
      </c>
      <c r="S5" s="131" t="s">
        <v>310</v>
      </c>
      <c r="T5" s="396">
        <f>J3+154</f>
        <v>44410</v>
      </c>
      <c r="U5" s="131" t="s">
        <v>310</v>
      </c>
      <c r="V5" s="396">
        <f>J3+185</f>
        <v>44441</v>
      </c>
      <c r="W5" s="131" t="s">
        <v>310</v>
      </c>
      <c r="X5" s="396">
        <f>J3+215</f>
        <v>44471</v>
      </c>
      <c r="Y5" s="131"/>
    </row>
    <row r="6" spans="2:25" ht="12.75">
      <c r="B6" s="391"/>
      <c r="C6" s="133"/>
      <c r="D6" s="396"/>
      <c r="E6" s="133"/>
      <c r="F6" s="396"/>
      <c r="G6" s="348"/>
      <c r="H6" s="396"/>
      <c r="I6" s="348"/>
      <c r="J6" s="391"/>
      <c r="K6" s="348"/>
      <c r="L6" s="396"/>
      <c r="M6" s="133"/>
      <c r="N6" s="396"/>
      <c r="O6" s="348"/>
      <c r="P6" s="396"/>
      <c r="Q6" s="133"/>
      <c r="R6" s="396"/>
      <c r="S6" s="133"/>
      <c r="T6" s="396"/>
      <c r="U6" s="133"/>
      <c r="V6" s="396"/>
      <c r="W6" s="133"/>
      <c r="X6" s="396"/>
      <c r="Y6" s="133"/>
    </row>
    <row r="7" spans="2:25" ht="12.75" customHeight="1">
      <c r="B7" s="391">
        <f>B3+2</f>
        <v>44138</v>
      </c>
      <c r="C7" s="131"/>
      <c r="D7" s="396">
        <f>B3+32</f>
        <v>44168</v>
      </c>
      <c r="E7" s="341" t="s">
        <v>310</v>
      </c>
      <c r="F7" s="396">
        <f>B3+63</f>
        <v>44199</v>
      </c>
      <c r="G7" s="363" t="s">
        <v>310</v>
      </c>
      <c r="H7" s="396">
        <f>B3+94</f>
        <v>44230</v>
      </c>
      <c r="I7" s="347" t="s">
        <v>321</v>
      </c>
      <c r="J7" s="391">
        <f>J3+2</f>
        <v>44258</v>
      </c>
      <c r="K7" s="347" t="s">
        <v>310</v>
      </c>
      <c r="L7" s="396">
        <f>J3+33</f>
        <v>44289</v>
      </c>
      <c r="M7" s="341" t="s">
        <v>341</v>
      </c>
      <c r="N7" s="396">
        <f>J3+63</f>
        <v>44319</v>
      </c>
      <c r="O7" s="347" t="s">
        <v>321</v>
      </c>
      <c r="P7" s="396">
        <f>J3+94</f>
        <v>44350</v>
      </c>
      <c r="Q7" s="131" t="s">
        <v>310</v>
      </c>
      <c r="R7" s="396">
        <f>J3+124</f>
        <v>44380</v>
      </c>
      <c r="S7" s="130" t="s">
        <v>327</v>
      </c>
      <c r="T7" s="396">
        <f>J3+155</f>
        <v>44411</v>
      </c>
      <c r="U7" s="131" t="s">
        <v>321</v>
      </c>
      <c r="V7" s="396">
        <f>J3+186</f>
        <v>44442</v>
      </c>
      <c r="W7" s="131" t="s">
        <v>290</v>
      </c>
      <c r="X7" s="396">
        <f>J3+216</f>
        <v>44472</v>
      </c>
      <c r="Y7" s="134"/>
    </row>
    <row r="8" spans="2:25" ht="12.75">
      <c r="B8" s="391"/>
      <c r="C8" s="133"/>
      <c r="D8" s="396"/>
      <c r="E8" s="133"/>
      <c r="F8" s="396"/>
      <c r="G8" s="133"/>
      <c r="H8" s="396"/>
      <c r="I8" s="348"/>
      <c r="J8" s="391"/>
      <c r="K8" s="342"/>
      <c r="L8" s="396"/>
      <c r="M8" s="342" t="s">
        <v>340</v>
      </c>
      <c r="N8" s="396"/>
      <c r="O8" s="348"/>
      <c r="P8" s="396"/>
      <c r="Q8" s="133"/>
      <c r="R8" s="396"/>
      <c r="S8" s="133"/>
      <c r="T8" s="396"/>
      <c r="U8" s="133"/>
      <c r="V8" s="396"/>
      <c r="W8" s="133"/>
      <c r="X8" s="396"/>
      <c r="Y8" s="133"/>
    </row>
    <row r="9" spans="2:25" ht="12.75" customHeight="1">
      <c r="B9" s="391">
        <f>B3+3</f>
        <v>44139</v>
      </c>
      <c r="C9" s="131"/>
      <c r="D9" s="396">
        <f>B3+33</f>
        <v>44169</v>
      </c>
      <c r="E9" s="341" t="s">
        <v>310</v>
      </c>
      <c r="F9" s="396">
        <f>B3+64</f>
        <v>44200</v>
      </c>
      <c r="G9" s="341" t="s">
        <v>322</v>
      </c>
      <c r="H9" s="396">
        <f>B3+95</f>
        <v>44231</v>
      </c>
      <c r="I9" s="347" t="s">
        <v>310</v>
      </c>
      <c r="J9" s="391">
        <f>J3+3</f>
        <v>44259</v>
      </c>
      <c r="K9" s="131" t="s">
        <v>323</v>
      </c>
      <c r="L9" s="396">
        <f>J3+34</f>
        <v>44290</v>
      </c>
      <c r="M9" s="341" t="s">
        <v>322</v>
      </c>
      <c r="N9" s="396">
        <f>J3+64</f>
        <v>44320</v>
      </c>
      <c r="O9" s="347" t="s">
        <v>310</v>
      </c>
      <c r="P9" s="396">
        <f>J3+95</f>
        <v>44351</v>
      </c>
      <c r="Q9" s="131" t="s">
        <v>323</v>
      </c>
      <c r="R9" s="396">
        <f>J3+125</f>
        <v>44381</v>
      </c>
      <c r="S9" s="130" t="s">
        <v>327</v>
      </c>
      <c r="T9" s="396">
        <f>J3+156</f>
        <v>44412</v>
      </c>
      <c r="U9" s="131" t="s">
        <v>321</v>
      </c>
      <c r="V9" s="396">
        <f>J3+187</f>
        <v>44443</v>
      </c>
      <c r="W9" s="131" t="s">
        <v>3</v>
      </c>
      <c r="X9" s="396">
        <f>J3+217</f>
        <v>44473</v>
      </c>
      <c r="Y9" s="131"/>
    </row>
    <row r="10" spans="2:25" ht="12.75">
      <c r="B10" s="391"/>
      <c r="C10" s="133"/>
      <c r="D10" s="396"/>
      <c r="E10" s="133"/>
      <c r="F10" s="396"/>
      <c r="G10" s="342"/>
      <c r="H10" s="396"/>
      <c r="I10" s="348"/>
      <c r="J10" s="391"/>
      <c r="K10" s="133"/>
      <c r="L10" s="396"/>
      <c r="M10" s="342"/>
      <c r="N10" s="396"/>
      <c r="O10" s="348"/>
      <c r="P10" s="396"/>
      <c r="Q10" s="133"/>
      <c r="R10" s="396"/>
      <c r="S10" s="133"/>
      <c r="T10" s="396"/>
      <c r="U10" s="133"/>
      <c r="V10" s="396"/>
      <c r="W10" s="133" t="s">
        <v>289</v>
      </c>
      <c r="X10" s="396"/>
      <c r="Y10" s="133"/>
    </row>
    <row r="11" spans="2:25" ht="12.75" customHeight="1">
      <c r="B11" s="391">
        <f>B3+4</f>
        <v>44140</v>
      </c>
      <c r="C11" s="131"/>
      <c r="D11" s="396">
        <f>B3+34</f>
        <v>44170</v>
      </c>
      <c r="E11" s="347" t="s">
        <v>321</v>
      </c>
      <c r="F11" s="396">
        <f>B3+65</f>
        <v>44201</v>
      </c>
      <c r="G11" s="341" t="s">
        <v>322</v>
      </c>
      <c r="H11" s="396">
        <f>B3+96</f>
        <v>44232</v>
      </c>
      <c r="I11" s="347" t="s">
        <v>321</v>
      </c>
      <c r="J11" s="391">
        <f>J3+4</f>
        <v>44260</v>
      </c>
      <c r="K11" s="131" t="s">
        <v>323</v>
      </c>
      <c r="L11" s="396">
        <f>J3+35</f>
        <v>44291</v>
      </c>
      <c r="M11" s="341" t="s">
        <v>310</v>
      </c>
      <c r="N11" s="396">
        <f>J3+65</f>
        <v>44321</v>
      </c>
      <c r="O11" s="347" t="s">
        <v>321</v>
      </c>
      <c r="P11" s="396">
        <f>J3+96</f>
        <v>44352</v>
      </c>
      <c r="Q11" s="131" t="s">
        <v>323</v>
      </c>
      <c r="R11" s="396">
        <f>J3+126</f>
        <v>44382</v>
      </c>
      <c r="S11" s="131" t="s">
        <v>328</v>
      </c>
      <c r="T11" s="396">
        <f>J3+157</f>
        <v>44413</v>
      </c>
      <c r="U11" s="131" t="s">
        <v>321</v>
      </c>
      <c r="V11" s="396">
        <f>J3+188</f>
        <v>44444</v>
      </c>
      <c r="W11" s="365" t="s">
        <v>334</v>
      </c>
      <c r="X11" s="396">
        <f>J3+218</f>
        <v>44474</v>
      </c>
      <c r="Y11" s="131"/>
    </row>
    <row r="12" spans="2:25" ht="12.75">
      <c r="B12" s="391"/>
      <c r="C12" s="133"/>
      <c r="D12" s="396"/>
      <c r="E12" s="133"/>
      <c r="F12" s="396"/>
      <c r="G12" s="343"/>
      <c r="H12" s="396"/>
      <c r="I12" s="348"/>
      <c r="J12" s="391"/>
      <c r="K12" s="133"/>
      <c r="L12" s="396"/>
      <c r="M12" s="342"/>
      <c r="N12" s="396"/>
      <c r="O12" s="348"/>
      <c r="P12" s="396"/>
      <c r="Q12" s="133"/>
      <c r="R12" s="396"/>
      <c r="S12" s="133"/>
      <c r="T12" s="396"/>
      <c r="U12" s="133"/>
      <c r="V12" s="396"/>
      <c r="W12" s="133"/>
      <c r="X12" s="396"/>
      <c r="Y12" s="133"/>
    </row>
    <row r="13" spans="2:25" ht="12.75" customHeight="1">
      <c r="B13" s="391">
        <f>B3+5</f>
        <v>44141</v>
      </c>
      <c r="C13" s="341" t="s">
        <v>322</v>
      </c>
      <c r="D13" s="396">
        <f>B3+35</f>
        <v>44171</v>
      </c>
      <c r="E13" s="347" t="s">
        <v>321</v>
      </c>
      <c r="F13" s="396">
        <f>B3+66</f>
        <v>44202</v>
      </c>
      <c r="G13" s="341" t="s">
        <v>310</v>
      </c>
      <c r="H13" s="396">
        <f>B3+97</f>
        <v>44233</v>
      </c>
      <c r="I13" s="347" t="s">
        <v>321</v>
      </c>
      <c r="J13" s="391">
        <f>J3+5</f>
        <v>44261</v>
      </c>
      <c r="K13" s="131" t="s">
        <v>310</v>
      </c>
      <c r="L13" s="396">
        <f>J3+36</f>
        <v>44292</v>
      </c>
      <c r="M13" s="341" t="s">
        <v>322</v>
      </c>
      <c r="N13" s="396">
        <f>J3+66</f>
        <v>44322</v>
      </c>
      <c r="O13" s="347" t="s">
        <v>321</v>
      </c>
      <c r="P13" s="396">
        <f>J3+97</f>
        <v>44353</v>
      </c>
      <c r="Q13" s="131" t="s">
        <v>310</v>
      </c>
      <c r="R13" s="396">
        <f>J3+127</f>
        <v>44383</v>
      </c>
      <c r="S13" s="131" t="s">
        <v>322</v>
      </c>
      <c r="T13" s="396">
        <f>J3+158</f>
        <v>44414</v>
      </c>
      <c r="U13" s="131" t="s">
        <v>310</v>
      </c>
      <c r="V13" s="396">
        <f>J3+189</f>
        <v>44445</v>
      </c>
      <c r="W13" s="131"/>
      <c r="X13" s="396">
        <f>J3+219</f>
        <v>44475</v>
      </c>
      <c r="Y13" s="131"/>
    </row>
    <row r="14" spans="2:25" ht="12.75">
      <c r="B14" s="391"/>
      <c r="C14" s="133"/>
      <c r="D14" s="396"/>
      <c r="E14" s="133"/>
      <c r="F14" s="396"/>
      <c r="G14" s="342"/>
      <c r="H14" s="396"/>
      <c r="I14" s="348"/>
      <c r="J14" s="391"/>
      <c r="K14" s="133"/>
      <c r="L14" s="396"/>
      <c r="M14" s="342"/>
      <c r="N14" s="396"/>
      <c r="O14" s="348"/>
      <c r="P14" s="396"/>
      <c r="Q14" s="133"/>
      <c r="R14" s="396"/>
      <c r="S14" s="133"/>
      <c r="T14" s="396"/>
      <c r="U14" s="133"/>
      <c r="V14" s="396"/>
      <c r="W14" s="133"/>
      <c r="X14" s="396"/>
      <c r="Y14" s="133"/>
    </row>
    <row r="15" spans="2:25" ht="12.75" customHeight="1">
      <c r="B15" s="391">
        <f>B3+6</f>
        <v>44142</v>
      </c>
      <c r="C15" s="341" t="s">
        <v>322</v>
      </c>
      <c r="D15" s="396">
        <f>B3+36</f>
        <v>44172</v>
      </c>
      <c r="E15" s="131"/>
      <c r="F15" s="396">
        <f>B3+67</f>
        <v>44203</v>
      </c>
      <c r="G15" s="341" t="s">
        <v>322</v>
      </c>
      <c r="H15" s="396">
        <f>B3+98</f>
        <v>44234</v>
      </c>
      <c r="I15" s="347" t="s">
        <v>310</v>
      </c>
      <c r="J15" s="391">
        <f>J3+6</f>
        <v>44262</v>
      </c>
      <c r="K15" s="140" t="s">
        <v>323</v>
      </c>
      <c r="L15" s="396">
        <f>J3+37</f>
        <v>44293</v>
      </c>
      <c r="M15" s="341" t="s">
        <v>322</v>
      </c>
      <c r="N15" s="396">
        <f>J3+67</f>
        <v>44323</v>
      </c>
      <c r="O15" s="347" t="s">
        <v>310</v>
      </c>
      <c r="P15" s="396">
        <f>J3+98</f>
        <v>44354</v>
      </c>
      <c r="Q15" s="131" t="s">
        <v>323</v>
      </c>
      <c r="R15" s="396">
        <f>J3+128</f>
        <v>44384</v>
      </c>
      <c r="S15" s="131" t="s">
        <v>322</v>
      </c>
      <c r="T15" s="396">
        <f>J3+159</f>
        <v>44415</v>
      </c>
      <c r="U15" s="131" t="s">
        <v>321</v>
      </c>
      <c r="V15" s="396">
        <f>J3+190</f>
        <v>44446</v>
      </c>
      <c r="W15" s="131"/>
      <c r="X15" s="396">
        <f>J3+220</f>
        <v>44476</v>
      </c>
      <c r="Y15" s="131"/>
    </row>
    <row r="16" spans="2:25" ht="12.75">
      <c r="B16" s="391"/>
      <c r="C16" s="133"/>
      <c r="D16" s="396"/>
      <c r="E16" s="133"/>
      <c r="F16" s="396"/>
      <c r="G16" s="343"/>
      <c r="H16" s="396"/>
      <c r="I16" s="348"/>
      <c r="J16" s="391"/>
      <c r="K16" s="133"/>
      <c r="L16" s="396"/>
      <c r="M16" s="342"/>
      <c r="N16" s="396"/>
      <c r="O16" s="348"/>
      <c r="P16" s="396"/>
      <c r="Q16" s="133"/>
      <c r="R16" s="396"/>
      <c r="S16" s="133"/>
      <c r="T16" s="396"/>
      <c r="U16" s="133"/>
      <c r="V16" s="396"/>
      <c r="W16" s="133"/>
      <c r="X16" s="396"/>
      <c r="Y16" s="133"/>
    </row>
    <row r="17" spans="2:26" ht="12.75" customHeight="1">
      <c r="B17" s="391">
        <f>B3+7</f>
        <v>44143</v>
      </c>
      <c r="C17" s="341" t="s">
        <v>310</v>
      </c>
      <c r="D17" s="396">
        <f>B3+37</f>
        <v>44173</v>
      </c>
      <c r="E17" s="347" t="s">
        <v>332</v>
      </c>
      <c r="F17" s="396">
        <f>B3+68</f>
        <v>44204</v>
      </c>
      <c r="G17" s="341" t="s">
        <v>322</v>
      </c>
      <c r="H17" s="396">
        <f>B3+99</f>
        <v>44235</v>
      </c>
      <c r="I17" s="347" t="s">
        <v>321</v>
      </c>
      <c r="J17" s="391">
        <f>J3+7</f>
        <v>44263</v>
      </c>
      <c r="K17" s="131" t="s">
        <v>323</v>
      </c>
      <c r="L17" s="396">
        <f>J3+38</f>
        <v>44294</v>
      </c>
      <c r="M17" s="341" t="s">
        <v>310</v>
      </c>
      <c r="N17" s="396">
        <f>J3+68</f>
        <v>44324</v>
      </c>
      <c r="O17" s="347" t="s">
        <v>321</v>
      </c>
      <c r="P17" s="396">
        <f>J3+99</f>
        <v>44355</v>
      </c>
      <c r="Q17" s="131" t="s">
        <v>323</v>
      </c>
      <c r="R17" s="396">
        <f>J3+129</f>
        <v>44385</v>
      </c>
      <c r="S17" s="140" t="s">
        <v>310</v>
      </c>
      <c r="T17" s="396">
        <f>J3+160</f>
        <v>44416</v>
      </c>
      <c r="U17" s="131" t="s">
        <v>321</v>
      </c>
      <c r="V17" s="396">
        <f>J3+191</f>
        <v>44447</v>
      </c>
      <c r="W17" s="131"/>
      <c r="X17" s="396">
        <f>J3+221</f>
        <v>44477</v>
      </c>
      <c r="Y17" s="131"/>
      <c r="Z17" s="39"/>
    </row>
    <row r="18" spans="2:25" ht="12.75">
      <c r="B18" s="391"/>
      <c r="C18" s="133"/>
      <c r="D18" s="396"/>
      <c r="E18" s="133"/>
      <c r="F18" s="396"/>
      <c r="G18" s="342"/>
      <c r="H18" s="396"/>
      <c r="I18" s="348"/>
      <c r="J18" s="391"/>
      <c r="K18" s="133"/>
      <c r="L18" s="396"/>
      <c r="M18" s="342"/>
      <c r="N18" s="396"/>
      <c r="O18" s="348"/>
      <c r="P18" s="396"/>
      <c r="Q18" s="133"/>
      <c r="R18" s="396"/>
      <c r="S18" s="133"/>
      <c r="T18" s="396"/>
      <c r="U18" s="133"/>
      <c r="V18" s="396"/>
      <c r="W18" s="133"/>
      <c r="X18" s="396"/>
      <c r="Y18" s="133"/>
    </row>
    <row r="19" spans="2:25" ht="12.75" customHeight="1">
      <c r="B19" s="391">
        <f>B3+8</f>
        <v>44144</v>
      </c>
      <c r="C19" s="341" t="s">
        <v>322</v>
      </c>
      <c r="D19" s="396">
        <f>B3+38</f>
        <v>44174</v>
      </c>
      <c r="E19" s="347" t="s">
        <v>332</v>
      </c>
      <c r="F19" s="396">
        <f>B3+69</f>
        <v>44205</v>
      </c>
      <c r="G19" s="341" t="s">
        <v>310</v>
      </c>
      <c r="H19" s="396">
        <f>B3+100</f>
        <v>44236</v>
      </c>
      <c r="I19" s="347" t="s">
        <v>321</v>
      </c>
      <c r="J19" s="391">
        <f>J3+8</f>
        <v>44264</v>
      </c>
      <c r="K19" s="131" t="s">
        <v>310</v>
      </c>
      <c r="L19" s="396">
        <f>J3+39</f>
        <v>44295</v>
      </c>
      <c r="M19" s="341" t="s">
        <v>322</v>
      </c>
      <c r="N19" s="396">
        <f>J3+69</f>
        <v>44325</v>
      </c>
      <c r="O19" s="347" t="s">
        <v>321</v>
      </c>
      <c r="P19" s="396">
        <f>J3+100</f>
        <v>44356</v>
      </c>
      <c r="Q19" s="131" t="s">
        <v>323</v>
      </c>
      <c r="R19" s="396">
        <f>J3+130</f>
        <v>44386</v>
      </c>
      <c r="S19" s="140" t="s">
        <v>322</v>
      </c>
      <c r="T19" s="396">
        <f>J3+161</f>
        <v>44417</v>
      </c>
      <c r="U19" s="131" t="s">
        <v>310</v>
      </c>
      <c r="V19" s="396">
        <f>J3+192</f>
        <v>44448</v>
      </c>
      <c r="W19" s="131"/>
      <c r="X19" s="396">
        <f>J3+222</f>
        <v>44478</v>
      </c>
      <c r="Y19" s="131"/>
    </row>
    <row r="20" spans="2:25" ht="12.75">
      <c r="B20" s="391"/>
      <c r="C20" s="133"/>
      <c r="D20" s="396"/>
      <c r="E20" s="133"/>
      <c r="F20" s="396"/>
      <c r="G20" s="342"/>
      <c r="H20" s="396"/>
      <c r="I20" s="348"/>
      <c r="J20" s="391"/>
      <c r="K20" s="133"/>
      <c r="L20" s="396"/>
      <c r="M20" s="342"/>
      <c r="N20" s="396"/>
      <c r="O20" s="348"/>
      <c r="P20" s="396"/>
      <c r="Q20" s="133"/>
      <c r="R20" s="396"/>
      <c r="S20" s="133"/>
      <c r="T20" s="396"/>
      <c r="U20" s="133"/>
      <c r="V20" s="396"/>
      <c r="W20" s="133"/>
      <c r="X20" s="396"/>
      <c r="Y20" s="133"/>
    </row>
    <row r="21" spans="2:25" ht="12.75" customHeight="1">
      <c r="B21" s="391">
        <f>B3+9</f>
        <v>44145</v>
      </c>
      <c r="C21" s="341" t="s">
        <v>322</v>
      </c>
      <c r="D21" s="396">
        <f>B3+39</f>
        <v>44175</v>
      </c>
      <c r="E21" s="131"/>
      <c r="F21" s="396">
        <f>B3+70</f>
        <v>44206</v>
      </c>
      <c r="G21" s="341" t="s">
        <v>322</v>
      </c>
      <c r="H21" s="396">
        <f>B3+101</f>
        <v>44237</v>
      </c>
      <c r="I21" s="347" t="s">
        <v>321</v>
      </c>
      <c r="J21" s="391">
        <f>J3+9</f>
        <v>44265</v>
      </c>
      <c r="K21" s="131" t="s">
        <v>323</v>
      </c>
      <c r="L21" s="396">
        <f>J3+40</f>
        <v>44296</v>
      </c>
      <c r="M21" s="341" t="s">
        <v>322</v>
      </c>
      <c r="N21" s="396">
        <f>J3+70</f>
        <v>44326</v>
      </c>
      <c r="O21" s="347" t="s">
        <v>321</v>
      </c>
      <c r="P21" s="396">
        <f>J3+101</f>
        <v>44357</v>
      </c>
      <c r="Q21" s="131" t="s">
        <v>310</v>
      </c>
      <c r="R21" s="396">
        <f>J3+131</f>
        <v>44387</v>
      </c>
      <c r="S21" s="131" t="s">
        <v>322</v>
      </c>
      <c r="T21" s="396">
        <f>J3+162</f>
        <v>44418</v>
      </c>
      <c r="U21" s="131" t="s">
        <v>321</v>
      </c>
      <c r="V21" s="396">
        <f>J3+193</f>
        <v>44449</v>
      </c>
      <c r="W21" s="131"/>
      <c r="X21" s="396">
        <f>J3+223</f>
        <v>44479</v>
      </c>
      <c r="Y21" s="131"/>
    </row>
    <row r="22" spans="2:25" ht="12.75">
      <c r="B22" s="391"/>
      <c r="C22" s="133"/>
      <c r="D22" s="396"/>
      <c r="E22" s="133"/>
      <c r="F22" s="396"/>
      <c r="G22" s="343"/>
      <c r="H22" s="396"/>
      <c r="I22" s="348"/>
      <c r="J22" s="391"/>
      <c r="K22" s="133"/>
      <c r="L22" s="396"/>
      <c r="M22" s="342"/>
      <c r="N22" s="396"/>
      <c r="O22" s="348"/>
      <c r="P22" s="396"/>
      <c r="Q22" s="133"/>
      <c r="R22" s="396"/>
      <c r="S22" s="133"/>
      <c r="T22" s="396"/>
      <c r="U22" s="133"/>
      <c r="V22" s="396"/>
      <c r="W22" s="133"/>
      <c r="X22" s="396"/>
      <c r="Y22" s="133"/>
    </row>
    <row r="23" spans="2:25" ht="12.75" customHeight="1">
      <c r="B23" s="391">
        <f>B3+10</f>
        <v>44146</v>
      </c>
      <c r="C23" s="341" t="s">
        <v>310</v>
      </c>
      <c r="D23" s="396">
        <f>B3+40</f>
        <v>44176</v>
      </c>
      <c r="E23" s="347" t="s">
        <v>321</v>
      </c>
      <c r="F23" s="396">
        <f>B3+71</f>
        <v>44207</v>
      </c>
      <c r="G23" s="341" t="s">
        <v>322</v>
      </c>
      <c r="H23" s="396">
        <f>B3+102</f>
        <v>44238</v>
      </c>
      <c r="I23" s="347" t="s">
        <v>310</v>
      </c>
      <c r="J23" s="391">
        <f>J3+10</f>
        <v>44266</v>
      </c>
      <c r="K23" s="131" t="s">
        <v>323</v>
      </c>
      <c r="L23" s="396">
        <f>J3+41</f>
        <v>44297</v>
      </c>
      <c r="M23" s="341" t="s">
        <v>322</v>
      </c>
      <c r="N23" s="396">
        <f>J3+71</f>
        <v>44327</v>
      </c>
      <c r="O23" s="347" t="s">
        <v>310</v>
      </c>
      <c r="P23" s="396">
        <f>J3+102</f>
        <v>44358</v>
      </c>
      <c r="Q23" s="131" t="s">
        <v>323</v>
      </c>
      <c r="R23" s="396">
        <f>J3+132</f>
        <v>44388</v>
      </c>
      <c r="S23" s="131" t="s">
        <v>310</v>
      </c>
      <c r="T23" s="396">
        <f>J3+163</f>
        <v>44419</v>
      </c>
      <c r="U23" s="131" t="s">
        <v>321</v>
      </c>
      <c r="V23" s="396">
        <f>J3+194</f>
        <v>44450</v>
      </c>
      <c r="W23" s="131"/>
      <c r="X23" s="396">
        <f>J3+224</f>
        <v>44480</v>
      </c>
      <c r="Y23" s="131"/>
    </row>
    <row r="24" spans="2:25" ht="12.75">
      <c r="B24" s="391"/>
      <c r="C24" s="133"/>
      <c r="D24" s="396"/>
      <c r="E24" s="133"/>
      <c r="F24" s="396"/>
      <c r="G24" s="342"/>
      <c r="H24" s="396"/>
      <c r="I24" s="348"/>
      <c r="J24" s="391"/>
      <c r="K24" s="133"/>
      <c r="L24" s="396"/>
      <c r="M24" s="351"/>
      <c r="N24" s="396"/>
      <c r="O24" s="348"/>
      <c r="P24" s="396"/>
      <c r="Q24" s="133"/>
      <c r="R24" s="396"/>
      <c r="S24" s="133"/>
      <c r="T24" s="396"/>
      <c r="U24" s="133"/>
      <c r="V24" s="396"/>
      <c r="W24" s="133"/>
      <c r="X24" s="396"/>
      <c r="Y24" s="133"/>
    </row>
    <row r="25" spans="2:25" ht="12.75" customHeight="1">
      <c r="B25" s="391">
        <f>B3+11</f>
        <v>44147</v>
      </c>
      <c r="C25" s="341" t="s">
        <v>322</v>
      </c>
      <c r="D25" s="396">
        <f>B3+41</f>
        <v>44177</v>
      </c>
      <c r="E25" s="347" t="s">
        <v>321</v>
      </c>
      <c r="F25" s="396">
        <f>B3+72</f>
        <v>44208</v>
      </c>
      <c r="G25" s="341" t="s">
        <v>322</v>
      </c>
      <c r="H25" s="396">
        <f>B3+103</f>
        <v>44239</v>
      </c>
      <c r="I25" s="347" t="s">
        <v>321</v>
      </c>
      <c r="J25" s="391">
        <f>J3+11</f>
        <v>44267</v>
      </c>
      <c r="K25" s="131" t="s">
        <v>323</v>
      </c>
      <c r="L25" s="396">
        <f>J3+42</f>
        <v>44298</v>
      </c>
      <c r="M25" s="352" t="s">
        <v>310</v>
      </c>
      <c r="N25" s="396">
        <f>J3+72</f>
        <v>44328</v>
      </c>
      <c r="O25" s="347" t="s">
        <v>321</v>
      </c>
      <c r="P25" s="396">
        <f>J3+103</f>
        <v>44359</v>
      </c>
      <c r="Q25" s="131" t="s">
        <v>323</v>
      </c>
      <c r="R25" s="396">
        <f>J3+133</f>
        <v>44389</v>
      </c>
      <c r="S25" s="131" t="s">
        <v>322</v>
      </c>
      <c r="T25" s="396">
        <f>J3+164</f>
        <v>44420</v>
      </c>
      <c r="U25" s="131" t="s">
        <v>310</v>
      </c>
      <c r="V25" s="396">
        <f>J3+195</f>
        <v>44451</v>
      </c>
      <c r="W25" s="131"/>
      <c r="X25" s="396">
        <f>J3+225</f>
        <v>44481</v>
      </c>
      <c r="Y25" s="131"/>
    </row>
    <row r="26" spans="2:25" ht="12.75">
      <c r="B26" s="391"/>
      <c r="C26" s="133"/>
      <c r="D26" s="396"/>
      <c r="E26" s="133"/>
      <c r="F26" s="396"/>
      <c r="G26" s="342"/>
      <c r="H26" s="396"/>
      <c r="I26" s="348"/>
      <c r="J26" s="391"/>
      <c r="K26" s="133"/>
      <c r="L26" s="396"/>
      <c r="M26" s="342"/>
      <c r="N26" s="396"/>
      <c r="O26" s="348"/>
      <c r="P26" s="396"/>
      <c r="Q26" s="133"/>
      <c r="R26" s="396"/>
      <c r="S26" s="133"/>
      <c r="T26" s="396"/>
      <c r="U26" s="133"/>
      <c r="V26" s="396"/>
      <c r="W26" s="133"/>
      <c r="X26" s="396"/>
      <c r="Y26" s="133"/>
    </row>
    <row r="27" spans="2:25" ht="12.75" customHeight="1">
      <c r="B27" s="391">
        <f>B3+12</f>
        <v>44148</v>
      </c>
      <c r="C27" s="341" t="s">
        <v>322</v>
      </c>
      <c r="D27" s="396">
        <f>B3+42</f>
        <v>44178</v>
      </c>
      <c r="E27" s="347" t="s">
        <v>321</v>
      </c>
      <c r="F27" s="396">
        <f>B3+73</f>
        <v>44209</v>
      </c>
      <c r="G27" s="341" t="s">
        <v>310</v>
      </c>
      <c r="H27" s="396">
        <f>B3+104</f>
        <v>44240</v>
      </c>
      <c r="I27" s="347" t="s">
        <v>321</v>
      </c>
      <c r="J27" s="391">
        <f>J3+12</f>
        <v>44268</v>
      </c>
      <c r="K27" s="131" t="s">
        <v>310</v>
      </c>
      <c r="L27" s="396">
        <f>J3+43</f>
        <v>44299</v>
      </c>
      <c r="M27" s="341" t="s">
        <v>322</v>
      </c>
      <c r="N27" s="396">
        <f>J3+73</f>
        <v>44329</v>
      </c>
      <c r="O27" s="347" t="s">
        <v>321</v>
      </c>
      <c r="P27" s="396">
        <f>J3+104</f>
        <v>44360</v>
      </c>
      <c r="Q27" s="131" t="s">
        <v>323</v>
      </c>
      <c r="R27" s="396">
        <f>J3+134</f>
        <v>44390</v>
      </c>
      <c r="S27" s="131" t="s">
        <v>322</v>
      </c>
      <c r="T27" s="396">
        <f>J3+165</f>
        <v>44421</v>
      </c>
      <c r="U27" s="131" t="s">
        <v>310</v>
      </c>
      <c r="V27" s="396">
        <f>J3+196</f>
        <v>44452</v>
      </c>
      <c r="W27" s="131"/>
      <c r="X27" s="396">
        <f>J3+226</f>
        <v>44482</v>
      </c>
      <c r="Y27" s="131"/>
    </row>
    <row r="28" spans="2:25" ht="12.75">
      <c r="B28" s="391"/>
      <c r="C28" s="133"/>
      <c r="D28" s="396"/>
      <c r="E28" s="133"/>
      <c r="F28" s="396"/>
      <c r="G28" s="342"/>
      <c r="H28" s="396"/>
      <c r="I28" s="348"/>
      <c r="J28" s="391"/>
      <c r="K28" s="133"/>
      <c r="L28" s="396"/>
      <c r="M28" s="342"/>
      <c r="N28" s="396"/>
      <c r="O28" s="348"/>
      <c r="P28" s="396"/>
      <c r="Q28" s="133"/>
      <c r="R28" s="396"/>
      <c r="S28" s="133"/>
      <c r="T28" s="396"/>
      <c r="U28" s="133"/>
      <c r="V28" s="396"/>
      <c r="W28" s="133"/>
      <c r="X28" s="396"/>
      <c r="Y28" s="133"/>
    </row>
    <row r="29" spans="2:25" ht="12.75" customHeight="1">
      <c r="B29" s="391">
        <f>B3+13</f>
        <v>44149</v>
      </c>
      <c r="C29" s="341" t="s">
        <v>322</v>
      </c>
      <c r="D29" s="396">
        <f>B3+43</f>
        <v>44179</v>
      </c>
      <c r="E29" s="131"/>
      <c r="F29" s="396">
        <f>B3+74</f>
        <v>44210</v>
      </c>
      <c r="G29" s="341" t="s">
        <v>322</v>
      </c>
      <c r="H29" s="396">
        <f>B3+105</f>
        <v>44241</v>
      </c>
      <c r="I29" s="347" t="s">
        <v>321</v>
      </c>
      <c r="J29" s="391">
        <f>J3+13</f>
        <v>44269</v>
      </c>
      <c r="K29" s="131" t="s">
        <v>323</v>
      </c>
      <c r="L29" s="396">
        <f>J3+44</f>
        <v>44300</v>
      </c>
      <c r="M29" s="341" t="s">
        <v>322</v>
      </c>
      <c r="N29" s="396">
        <f>J3+74</f>
        <v>44330</v>
      </c>
      <c r="O29" s="347" t="s">
        <v>321</v>
      </c>
      <c r="P29" s="396">
        <f>J3+105</f>
        <v>44361</v>
      </c>
      <c r="Q29" s="131" t="s">
        <v>310</v>
      </c>
      <c r="R29" s="396">
        <f>J3+135</f>
        <v>44391</v>
      </c>
      <c r="S29" s="131" t="s">
        <v>322</v>
      </c>
      <c r="T29" s="396">
        <f>J3+166</f>
        <v>44422</v>
      </c>
      <c r="U29" s="131" t="s">
        <v>310</v>
      </c>
      <c r="V29" s="396">
        <f>J3+197</f>
        <v>44453</v>
      </c>
      <c r="W29" s="131"/>
      <c r="X29" s="396">
        <f>J3+227</f>
        <v>44483</v>
      </c>
      <c r="Y29" s="131"/>
    </row>
    <row r="30" spans="2:25" ht="12.75">
      <c r="B30" s="391"/>
      <c r="C30" s="133"/>
      <c r="D30" s="396"/>
      <c r="E30" s="133"/>
      <c r="F30" s="396"/>
      <c r="G30" s="342"/>
      <c r="H30" s="396"/>
      <c r="I30" s="348"/>
      <c r="J30" s="391"/>
      <c r="K30" s="133"/>
      <c r="L30" s="396"/>
      <c r="M30" s="342"/>
      <c r="N30" s="396"/>
      <c r="O30" s="348"/>
      <c r="P30" s="396"/>
      <c r="Q30" s="133"/>
      <c r="R30" s="396"/>
      <c r="S30" s="133"/>
      <c r="T30" s="396"/>
      <c r="U30" s="133"/>
      <c r="V30" s="396"/>
      <c r="W30" s="133"/>
      <c r="X30" s="396"/>
      <c r="Y30" s="133"/>
    </row>
    <row r="31" spans="2:25" ht="12.75" customHeight="1">
      <c r="B31" s="391">
        <f>B3+14</f>
        <v>44150</v>
      </c>
      <c r="C31" s="341" t="s">
        <v>310</v>
      </c>
      <c r="D31" s="396">
        <f>B3+44</f>
        <v>44180</v>
      </c>
      <c r="E31" s="347" t="s">
        <v>321</v>
      </c>
      <c r="F31" s="396">
        <f>B3+75</f>
        <v>44211</v>
      </c>
      <c r="G31" s="341" t="s">
        <v>322</v>
      </c>
      <c r="H31" s="396">
        <f>B3+106</f>
        <v>44242</v>
      </c>
      <c r="I31" s="347" t="s">
        <v>310</v>
      </c>
      <c r="J31" s="391">
        <f>J3+14</f>
        <v>44270</v>
      </c>
      <c r="K31" s="131" t="s">
        <v>323</v>
      </c>
      <c r="L31" s="396">
        <f>J3+45</f>
        <v>44301</v>
      </c>
      <c r="M31" s="341" t="s">
        <v>322</v>
      </c>
      <c r="N31" s="396">
        <f>J3+75</f>
        <v>44331</v>
      </c>
      <c r="O31" s="347" t="s">
        <v>310</v>
      </c>
      <c r="P31" s="396">
        <f>J3+106</f>
        <v>44362</v>
      </c>
      <c r="Q31" s="131" t="s">
        <v>323</v>
      </c>
      <c r="R31" s="396">
        <f>J3+136</f>
        <v>44392</v>
      </c>
      <c r="S31" s="140" t="s">
        <v>310</v>
      </c>
      <c r="T31" s="396">
        <f>J3+167</f>
        <v>44423</v>
      </c>
      <c r="U31" s="131" t="s">
        <v>310</v>
      </c>
      <c r="V31" s="396">
        <f>J3+198</f>
        <v>44454</v>
      </c>
      <c r="W31" s="131"/>
      <c r="X31" s="396">
        <f>J3+228</f>
        <v>44484</v>
      </c>
      <c r="Y31" s="131"/>
    </row>
    <row r="32" spans="2:25" ht="12.75">
      <c r="B32" s="391"/>
      <c r="C32" s="136"/>
      <c r="D32" s="396"/>
      <c r="E32" s="133"/>
      <c r="F32" s="396"/>
      <c r="G32" s="342"/>
      <c r="H32" s="396"/>
      <c r="I32" s="348"/>
      <c r="J32" s="391"/>
      <c r="K32" s="133"/>
      <c r="L32" s="396"/>
      <c r="M32" s="342"/>
      <c r="N32" s="396"/>
      <c r="O32" s="348"/>
      <c r="P32" s="396"/>
      <c r="Q32" s="133"/>
      <c r="R32" s="396"/>
      <c r="S32" s="133"/>
      <c r="T32" s="396"/>
      <c r="U32" s="133"/>
      <c r="V32" s="396"/>
      <c r="W32" s="133"/>
      <c r="X32" s="396"/>
      <c r="Y32" s="133"/>
    </row>
    <row r="33" spans="2:25" ht="12.75" customHeight="1">
      <c r="B33" s="391">
        <f>B3+15</f>
        <v>44151</v>
      </c>
      <c r="C33" s="341" t="s">
        <v>322</v>
      </c>
      <c r="D33" s="396">
        <f>B3+45</f>
        <v>44181</v>
      </c>
      <c r="E33" s="347" t="s">
        <v>321</v>
      </c>
      <c r="F33" s="396">
        <f>B3+76</f>
        <v>44212</v>
      </c>
      <c r="G33" s="341" t="s">
        <v>322</v>
      </c>
      <c r="H33" s="396">
        <f>B3+107</f>
        <v>44243</v>
      </c>
      <c r="I33" s="347" t="s">
        <v>321</v>
      </c>
      <c r="J33" s="391">
        <f>J3+15</f>
        <v>44271</v>
      </c>
      <c r="K33" s="131" t="s">
        <v>323</v>
      </c>
      <c r="L33" s="396">
        <f>J3+46</f>
        <v>44302</v>
      </c>
      <c r="M33" s="341" t="s">
        <v>310</v>
      </c>
      <c r="N33" s="396">
        <f>J3+76</f>
        <v>44332</v>
      </c>
      <c r="O33" s="347" t="s">
        <v>321</v>
      </c>
      <c r="P33" s="396">
        <f>J3+107</f>
        <v>44363</v>
      </c>
      <c r="Q33" s="131" t="s">
        <v>323</v>
      </c>
      <c r="R33" s="396">
        <f>J3+137</f>
        <v>44393</v>
      </c>
      <c r="S33" s="131" t="s">
        <v>322</v>
      </c>
      <c r="T33" s="396">
        <f>J3+168</f>
        <v>44424</v>
      </c>
      <c r="U33" s="131" t="s">
        <v>310</v>
      </c>
      <c r="V33" s="396">
        <f>J3+199</f>
        <v>44455</v>
      </c>
      <c r="W33" s="131"/>
      <c r="X33" s="396">
        <f>J3+229</f>
        <v>44485</v>
      </c>
      <c r="Y33" s="131"/>
    </row>
    <row r="34" spans="2:25" ht="12.75">
      <c r="B34" s="391"/>
      <c r="C34" s="136"/>
      <c r="D34" s="396"/>
      <c r="E34" s="133"/>
      <c r="F34" s="396"/>
      <c r="G34" s="343"/>
      <c r="H34" s="396"/>
      <c r="I34" s="348"/>
      <c r="J34" s="391"/>
      <c r="K34" s="133"/>
      <c r="L34" s="396"/>
      <c r="M34" s="342"/>
      <c r="N34" s="396"/>
      <c r="O34" s="348"/>
      <c r="P34" s="396"/>
      <c r="Q34" s="133"/>
      <c r="R34" s="396"/>
      <c r="S34" s="133"/>
      <c r="T34" s="396"/>
      <c r="U34" s="133"/>
      <c r="V34" s="396"/>
      <c r="W34" s="133"/>
      <c r="X34" s="396"/>
      <c r="Y34" s="133"/>
    </row>
    <row r="35" spans="2:25" ht="12.75" customHeight="1">
      <c r="B35" s="391">
        <f>B3+16</f>
        <v>44152</v>
      </c>
      <c r="C35" s="341" t="s">
        <v>322</v>
      </c>
      <c r="D35" s="396">
        <f>B3+46</f>
        <v>44182</v>
      </c>
      <c r="E35" s="347" t="s">
        <v>321</v>
      </c>
      <c r="F35" s="396">
        <f>B3+77</f>
        <v>44213</v>
      </c>
      <c r="G35" s="341" t="s">
        <v>310</v>
      </c>
      <c r="H35" s="396">
        <f>B3+108</f>
        <v>44244</v>
      </c>
      <c r="I35" s="347" t="s">
        <v>321</v>
      </c>
      <c r="J35" s="391">
        <f>J3+16</f>
        <v>44272</v>
      </c>
      <c r="K35" s="131" t="s">
        <v>310</v>
      </c>
      <c r="L35" s="396">
        <f>J3+47</f>
        <v>44303</v>
      </c>
      <c r="M35" s="341" t="s">
        <v>322</v>
      </c>
      <c r="N35" s="396">
        <f>J3+77</f>
        <v>44333</v>
      </c>
      <c r="O35" s="347" t="s">
        <v>321</v>
      </c>
      <c r="P35" s="396">
        <f>J3+108</f>
        <v>44364</v>
      </c>
      <c r="Q35" s="131" t="s">
        <v>310</v>
      </c>
      <c r="R35" s="396">
        <f>J3+138</f>
        <v>44394</v>
      </c>
      <c r="S35" s="131" t="s">
        <v>322</v>
      </c>
      <c r="T35" s="396">
        <f>J3+169</f>
        <v>44425</v>
      </c>
      <c r="U35" s="131" t="s">
        <v>310</v>
      </c>
      <c r="V35" s="396">
        <f>J3+200</f>
        <v>44456</v>
      </c>
      <c r="W35" s="131"/>
      <c r="X35" s="396">
        <f>J3+230</f>
        <v>44486</v>
      </c>
      <c r="Y35" s="131"/>
    </row>
    <row r="36" spans="2:25" ht="12.75">
      <c r="B36" s="391"/>
      <c r="C36" s="133"/>
      <c r="D36" s="396"/>
      <c r="E36" s="133"/>
      <c r="F36" s="396"/>
      <c r="G36" s="342"/>
      <c r="H36" s="396"/>
      <c r="I36" s="348"/>
      <c r="J36" s="391"/>
      <c r="K36" s="133"/>
      <c r="L36" s="396"/>
      <c r="M36" s="342"/>
      <c r="N36" s="396"/>
      <c r="O36" s="348"/>
      <c r="P36" s="396"/>
      <c r="Q36" s="133"/>
      <c r="R36" s="396"/>
      <c r="S36" s="133"/>
      <c r="T36" s="396"/>
      <c r="U36" s="133"/>
      <c r="V36" s="396"/>
      <c r="W36" s="133"/>
      <c r="X36" s="396"/>
      <c r="Y36" s="133"/>
    </row>
    <row r="37" spans="2:25" ht="12.75" customHeight="1">
      <c r="B37" s="391">
        <f>B3+17</f>
        <v>44153</v>
      </c>
      <c r="C37" s="341" t="s">
        <v>322</v>
      </c>
      <c r="D37" s="396">
        <f>B3+47</f>
        <v>44183</v>
      </c>
      <c r="E37" s="363" t="s">
        <v>310</v>
      </c>
      <c r="F37" s="396">
        <f>B3+78</f>
        <v>44214</v>
      </c>
      <c r="G37" s="341" t="s">
        <v>322</v>
      </c>
      <c r="H37" s="396">
        <f>B3+109</f>
        <v>44245</v>
      </c>
      <c r="I37" s="347" t="s">
        <v>310</v>
      </c>
      <c r="J37" s="391">
        <f>J3+17</f>
        <v>44273</v>
      </c>
      <c r="K37" s="131" t="s">
        <v>323</v>
      </c>
      <c r="L37" s="396">
        <f>J3+48</f>
        <v>44304</v>
      </c>
      <c r="M37" s="341" t="s">
        <v>322</v>
      </c>
      <c r="N37" s="396">
        <f>J3+78</f>
        <v>44334</v>
      </c>
      <c r="O37" s="347" t="s">
        <v>310</v>
      </c>
      <c r="P37" s="396">
        <f>J3+109</f>
        <v>44365</v>
      </c>
      <c r="Q37" s="131" t="s">
        <v>323</v>
      </c>
      <c r="R37" s="396">
        <f>J3+139</f>
        <v>44395</v>
      </c>
      <c r="S37" s="131" t="s">
        <v>310</v>
      </c>
      <c r="T37" s="396">
        <f>J3+170</f>
        <v>44426</v>
      </c>
      <c r="U37" s="131" t="s">
        <v>310</v>
      </c>
      <c r="V37" s="396">
        <f>J3+201</f>
        <v>44457</v>
      </c>
      <c r="W37" s="131"/>
      <c r="X37" s="396">
        <f>J3+231</f>
        <v>44487</v>
      </c>
      <c r="Y37" s="131"/>
    </row>
    <row r="38" spans="2:25" ht="12.75">
      <c r="B38" s="391"/>
      <c r="C38" s="133"/>
      <c r="D38" s="396"/>
      <c r="E38" s="133"/>
      <c r="F38" s="396"/>
      <c r="G38" s="342"/>
      <c r="H38" s="396"/>
      <c r="I38" s="348"/>
      <c r="J38" s="391"/>
      <c r="K38" s="133"/>
      <c r="L38" s="396"/>
      <c r="M38" s="342"/>
      <c r="N38" s="396"/>
      <c r="O38" s="348"/>
      <c r="P38" s="396"/>
      <c r="Q38" s="133"/>
      <c r="R38" s="396"/>
      <c r="S38" s="133"/>
      <c r="T38" s="396"/>
      <c r="U38" s="133"/>
      <c r="V38" s="396"/>
      <c r="W38" s="133"/>
      <c r="X38" s="396"/>
      <c r="Y38" s="133"/>
    </row>
    <row r="39" spans="2:58" ht="12.75" customHeight="1">
      <c r="B39" s="391">
        <f>B3+18</f>
        <v>44154</v>
      </c>
      <c r="C39" s="341" t="s">
        <v>310</v>
      </c>
      <c r="D39" s="396">
        <f>B3+48</f>
        <v>44184</v>
      </c>
      <c r="E39" s="347" t="s">
        <v>321</v>
      </c>
      <c r="F39" s="396">
        <f>B3+79</f>
        <v>44215</v>
      </c>
      <c r="G39" s="341" t="s">
        <v>322</v>
      </c>
      <c r="H39" s="396">
        <f>B3+110</f>
        <v>44246</v>
      </c>
      <c r="I39" s="347" t="s">
        <v>321</v>
      </c>
      <c r="J39" s="391">
        <f>J3+18</f>
        <v>44274</v>
      </c>
      <c r="K39" s="131" t="s">
        <v>323</v>
      </c>
      <c r="L39" s="396">
        <f>J3+49</f>
        <v>44305</v>
      </c>
      <c r="M39" s="341" t="s">
        <v>310</v>
      </c>
      <c r="N39" s="396">
        <f>J3+79</f>
        <v>44335</v>
      </c>
      <c r="O39" s="347" t="s">
        <v>321</v>
      </c>
      <c r="P39" s="396">
        <f>J3+110</f>
        <v>44366</v>
      </c>
      <c r="Q39" s="131" t="s">
        <v>323</v>
      </c>
      <c r="R39" s="396">
        <f>J3+140</f>
        <v>44396</v>
      </c>
      <c r="S39" s="131" t="s">
        <v>322</v>
      </c>
      <c r="T39" s="396">
        <f>J3+171</f>
        <v>44427</v>
      </c>
      <c r="U39" s="131" t="s">
        <v>323</v>
      </c>
      <c r="V39" s="396">
        <f>J3+202</f>
        <v>44458</v>
      </c>
      <c r="W39" s="131"/>
      <c r="X39" s="396">
        <f>J3+232</f>
        <v>44488</v>
      </c>
      <c r="Y39" s="131"/>
      <c r="BF39" s="132"/>
    </row>
    <row r="40" spans="2:25" ht="12.75">
      <c r="B40" s="391"/>
      <c r="C40" s="133"/>
      <c r="D40" s="396"/>
      <c r="E40" s="133"/>
      <c r="F40" s="396"/>
      <c r="G40" s="342"/>
      <c r="H40" s="396"/>
      <c r="I40" s="348"/>
      <c r="J40" s="391"/>
      <c r="K40" s="133"/>
      <c r="L40" s="396"/>
      <c r="M40" s="342"/>
      <c r="N40" s="396"/>
      <c r="O40" s="348"/>
      <c r="P40" s="396"/>
      <c r="Q40" s="133"/>
      <c r="R40" s="396"/>
      <c r="S40" s="133"/>
      <c r="T40" s="396"/>
      <c r="U40" s="133"/>
      <c r="V40" s="396"/>
      <c r="W40" s="133"/>
      <c r="X40" s="396"/>
      <c r="Y40" s="133"/>
    </row>
    <row r="41" spans="2:58" ht="12.75" customHeight="1">
      <c r="B41" s="391">
        <f>B3+19</f>
        <v>44155</v>
      </c>
      <c r="C41" s="341" t="s">
        <v>322</v>
      </c>
      <c r="D41" s="396">
        <f>B3+49</f>
        <v>44185</v>
      </c>
      <c r="E41" s="347" t="s">
        <v>321</v>
      </c>
      <c r="F41" s="396">
        <f>B3+80</f>
        <v>44216</v>
      </c>
      <c r="G41" s="341" t="s">
        <v>310</v>
      </c>
      <c r="H41" s="396">
        <f>B3+111</f>
        <v>44247</v>
      </c>
      <c r="I41" s="347" t="s">
        <v>321</v>
      </c>
      <c r="J41" s="391">
        <f>J3+19</f>
        <v>44275</v>
      </c>
      <c r="K41" s="131" t="s">
        <v>310</v>
      </c>
      <c r="L41" s="396">
        <f>J3+50</f>
        <v>44306</v>
      </c>
      <c r="M41" s="341" t="s">
        <v>322</v>
      </c>
      <c r="N41" s="396">
        <f>J3+80</f>
        <v>44336</v>
      </c>
      <c r="O41" s="347" t="s">
        <v>321</v>
      </c>
      <c r="P41" s="396">
        <f>J3+111</f>
        <v>44367</v>
      </c>
      <c r="Q41" s="365" t="s">
        <v>334</v>
      </c>
      <c r="R41" s="396">
        <f>J3+141</f>
        <v>44397</v>
      </c>
      <c r="S41" s="139" t="s">
        <v>322</v>
      </c>
      <c r="T41" s="396">
        <f>J3+173</f>
        <v>44429</v>
      </c>
      <c r="U41" s="131" t="s">
        <v>323</v>
      </c>
      <c r="V41" s="396">
        <f>J3+203</f>
        <v>44459</v>
      </c>
      <c r="W41" s="131"/>
      <c r="X41" s="396">
        <f>J3+233</f>
        <v>44489</v>
      </c>
      <c r="Y41" s="131"/>
      <c r="BF41" s="132"/>
    </row>
    <row r="42" spans="2:25" ht="12.75">
      <c r="B42" s="391"/>
      <c r="C42" s="133"/>
      <c r="D42" s="396"/>
      <c r="E42" s="133"/>
      <c r="F42" s="396"/>
      <c r="G42" s="342"/>
      <c r="H42" s="396"/>
      <c r="I42" s="348"/>
      <c r="J42" s="391"/>
      <c r="K42" s="133"/>
      <c r="L42" s="396"/>
      <c r="M42" s="342"/>
      <c r="N42" s="396"/>
      <c r="O42" s="348"/>
      <c r="P42" s="396"/>
      <c r="Q42" s="133"/>
      <c r="R42" s="396"/>
      <c r="S42" s="133"/>
      <c r="T42" s="396"/>
      <c r="U42" s="133"/>
      <c r="V42" s="396"/>
      <c r="W42" s="133"/>
      <c r="X42" s="396"/>
      <c r="Y42" s="133"/>
    </row>
    <row r="43" spans="2:25" ht="12.75" customHeight="1">
      <c r="B43" s="391">
        <f>B3+20</f>
        <v>44156</v>
      </c>
      <c r="C43" s="341" t="s">
        <v>322</v>
      </c>
      <c r="D43" s="396">
        <f>B3+50</f>
        <v>44186</v>
      </c>
      <c r="E43" s="131"/>
      <c r="F43" s="396">
        <f>B3+81</f>
        <v>44217</v>
      </c>
      <c r="G43" s="341" t="s">
        <v>331</v>
      </c>
      <c r="H43" s="396">
        <f>B3+112</f>
        <v>44248</v>
      </c>
      <c r="I43" s="347" t="s">
        <v>310</v>
      </c>
      <c r="J43" s="391">
        <f>J3+20</f>
        <v>44276</v>
      </c>
      <c r="K43" s="131" t="s">
        <v>333</v>
      </c>
      <c r="L43" s="396">
        <f>J3+51</f>
        <v>44307</v>
      </c>
      <c r="M43" s="341" t="s">
        <v>322</v>
      </c>
      <c r="N43" s="396">
        <f>J3+81</f>
        <v>44337</v>
      </c>
      <c r="O43" s="355" t="s">
        <v>310</v>
      </c>
      <c r="P43" s="396">
        <f>J3+112</f>
        <v>44368</v>
      </c>
      <c r="Q43" s="131"/>
      <c r="R43" s="396">
        <f>J3+142</f>
        <v>44398</v>
      </c>
      <c r="S43" s="131" t="s">
        <v>310</v>
      </c>
      <c r="T43" s="396">
        <f>J3+174</f>
        <v>44430</v>
      </c>
      <c r="U43" s="131" t="s">
        <v>310</v>
      </c>
      <c r="V43" s="396">
        <f>J3+204</f>
        <v>44460</v>
      </c>
      <c r="W43" s="131"/>
      <c r="X43" s="396">
        <f>J3+234</f>
        <v>44490</v>
      </c>
      <c r="Y43" s="131"/>
    </row>
    <row r="44" spans="2:25" ht="12.75">
      <c r="B44" s="391"/>
      <c r="C44" s="133"/>
      <c r="D44" s="396"/>
      <c r="E44" s="133"/>
      <c r="F44" s="396"/>
      <c r="G44" s="342"/>
      <c r="H44" s="396"/>
      <c r="I44" s="348"/>
      <c r="J44" s="391"/>
      <c r="K44" s="133"/>
      <c r="L44" s="396"/>
      <c r="M44" s="342"/>
      <c r="N44" s="396"/>
      <c r="O44" s="356"/>
      <c r="P44" s="396"/>
      <c r="Q44" s="133"/>
      <c r="R44" s="396"/>
      <c r="S44" s="133"/>
      <c r="T44" s="396"/>
      <c r="U44" s="133"/>
      <c r="V44" s="396"/>
      <c r="W44" s="133"/>
      <c r="X44" s="396"/>
      <c r="Y44" s="133"/>
    </row>
    <row r="45" spans="2:25" ht="12.75" customHeight="1">
      <c r="B45" s="391">
        <f>B3+21</f>
        <v>44157</v>
      </c>
      <c r="C45" s="341" t="s">
        <v>310</v>
      </c>
      <c r="D45" s="396">
        <f>B3+51</f>
        <v>44187</v>
      </c>
      <c r="E45" s="347" t="s">
        <v>321</v>
      </c>
      <c r="F45" s="396">
        <f>B3+82</f>
        <v>44218</v>
      </c>
      <c r="G45" s="341" t="s">
        <v>330</v>
      </c>
      <c r="H45" s="396">
        <f>B3+113</f>
        <v>44249</v>
      </c>
      <c r="I45" s="347"/>
      <c r="J45" s="391">
        <f>J3+21</f>
        <v>44277</v>
      </c>
      <c r="K45" s="131" t="s">
        <v>335</v>
      </c>
      <c r="L45" s="396">
        <f>J3+52</f>
        <v>44308</v>
      </c>
      <c r="M45" s="341" t="s">
        <v>310</v>
      </c>
      <c r="N45" s="396">
        <f>J3+82</f>
        <v>44338</v>
      </c>
      <c r="O45" s="347"/>
      <c r="P45" s="396">
        <f>J3+113</f>
        <v>44369</v>
      </c>
      <c r="Q45" s="131"/>
      <c r="R45" s="396">
        <f>J3+143</f>
        <v>44399</v>
      </c>
      <c r="S45" s="131" t="s">
        <v>310</v>
      </c>
      <c r="T45" s="396">
        <f>J3+175</f>
        <v>44431</v>
      </c>
      <c r="U45" s="131" t="s">
        <v>5</v>
      </c>
      <c r="V45" s="396">
        <f>J3+205</f>
        <v>44461</v>
      </c>
      <c r="W45" s="131"/>
      <c r="X45" s="396">
        <f>J3+235</f>
        <v>44491</v>
      </c>
      <c r="Y45" s="131"/>
    </row>
    <row r="46" spans="2:25" ht="12.75">
      <c r="B46" s="391"/>
      <c r="C46" s="133"/>
      <c r="D46" s="396"/>
      <c r="E46" s="133"/>
      <c r="F46" s="396"/>
      <c r="G46" s="342"/>
      <c r="H46" s="396"/>
      <c r="I46" s="348"/>
      <c r="J46" s="391"/>
      <c r="K46" s="133"/>
      <c r="L46" s="396"/>
      <c r="M46" s="342"/>
      <c r="N46" s="396"/>
      <c r="O46" s="348"/>
      <c r="P46" s="396"/>
      <c r="Q46" s="133"/>
      <c r="R46" s="396"/>
      <c r="S46" s="133"/>
      <c r="T46" s="396"/>
      <c r="U46" s="133"/>
      <c r="V46" s="396"/>
      <c r="W46" s="133"/>
      <c r="X46" s="396"/>
      <c r="Y46" s="133"/>
    </row>
    <row r="47" spans="2:25" ht="12.75" customHeight="1">
      <c r="B47" s="391">
        <f>B3+22</f>
        <v>44158</v>
      </c>
      <c r="C47" s="341" t="s">
        <v>331</v>
      </c>
      <c r="D47" s="396">
        <f>B3+52</f>
        <v>44188</v>
      </c>
      <c r="E47" s="347" t="s">
        <v>321</v>
      </c>
      <c r="F47" s="396">
        <f>B3+83</f>
        <v>44219</v>
      </c>
      <c r="G47" s="341" t="s">
        <v>310</v>
      </c>
      <c r="H47" s="396">
        <f>B3+114</f>
        <v>44250</v>
      </c>
      <c r="I47" s="347"/>
      <c r="J47" s="391">
        <f>J3+22</f>
        <v>44278</v>
      </c>
      <c r="K47" s="131" t="s">
        <v>310</v>
      </c>
      <c r="L47" s="396">
        <f>J3+53</f>
        <v>44309</v>
      </c>
      <c r="M47" s="341"/>
      <c r="N47" s="396">
        <f>J3+83</f>
        <v>44339</v>
      </c>
      <c r="O47" s="365" t="s">
        <v>334</v>
      </c>
      <c r="P47" s="396">
        <f>J3+114</f>
        <v>44370</v>
      </c>
      <c r="Q47" s="131" t="s">
        <v>310</v>
      </c>
      <c r="R47" s="396">
        <f>J3+144</f>
        <v>44400</v>
      </c>
      <c r="S47" s="131" t="s">
        <v>310</v>
      </c>
      <c r="T47" s="396">
        <f>J3+176</f>
        <v>44432</v>
      </c>
      <c r="U47" s="131" t="s">
        <v>3</v>
      </c>
      <c r="V47" s="396">
        <f>J3+206</f>
        <v>44462</v>
      </c>
      <c r="W47" s="131"/>
      <c r="X47" s="396">
        <f>J3+236</f>
        <v>44492</v>
      </c>
      <c r="Y47" s="131"/>
    </row>
    <row r="48" spans="2:25" ht="12.75">
      <c r="B48" s="391"/>
      <c r="C48" s="133"/>
      <c r="D48" s="396"/>
      <c r="E48" s="133"/>
      <c r="F48" s="396"/>
      <c r="G48" s="342"/>
      <c r="H48" s="396"/>
      <c r="I48" s="348"/>
      <c r="J48" s="391"/>
      <c r="K48" s="133"/>
      <c r="L48" s="396"/>
      <c r="M48" s="342"/>
      <c r="N48" s="396"/>
      <c r="O48" s="348"/>
      <c r="P48" s="396"/>
      <c r="Q48" s="133"/>
      <c r="R48" s="396"/>
      <c r="S48" s="133"/>
      <c r="T48" s="396"/>
      <c r="U48" s="133" t="s">
        <v>289</v>
      </c>
      <c r="V48" s="396"/>
      <c r="W48" s="133"/>
      <c r="X48" s="396"/>
      <c r="Y48" s="133"/>
    </row>
    <row r="49" spans="2:25" ht="12.75" customHeight="1">
      <c r="B49" s="391">
        <f>B3+23</f>
        <v>44159</v>
      </c>
      <c r="C49" s="341" t="s">
        <v>330</v>
      </c>
      <c r="D49" s="396">
        <f>B3+53</f>
        <v>44189</v>
      </c>
      <c r="E49" s="363" t="s">
        <v>310</v>
      </c>
      <c r="F49" s="396">
        <f>B3+84</f>
        <v>44220</v>
      </c>
      <c r="G49" s="341"/>
      <c r="H49" s="396">
        <f>B3+115</f>
        <v>44251</v>
      </c>
      <c r="I49" s="347"/>
      <c r="J49" s="391">
        <f>J3+23</f>
        <v>44279</v>
      </c>
      <c r="K49" s="131"/>
      <c r="L49" s="396">
        <f>J3+54</f>
        <v>44310</v>
      </c>
      <c r="M49" s="341"/>
      <c r="N49" s="396">
        <f>J3+84</f>
        <v>44340</v>
      </c>
      <c r="O49" s="347"/>
      <c r="P49" s="396">
        <f>J3+115</f>
        <v>44371</v>
      </c>
      <c r="Q49" s="131" t="s">
        <v>310</v>
      </c>
      <c r="R49" s="396">
        <f>J3+145</f>
        <v>44401</v>
      </c>
      <c r="S49" s="131" t="s">
        <v>310</v>
      </c>
      <c r="T49" s="396">
        <f>J3+177</f>
        <v>44433</v>
      </c>
      <c r="U49" s="131" t="s">
        <v>310</v>
      </c>
      <c r="V49" s="396">
        <f>J3+207</f>
        <v>44463</v>
      </c>
      <c r="W49" s="131"/>
      <c r="X49" s="396">
        <f>J3+237</f>
        <v>44493</v>
      </c>
      <c r="Y49" s="131"/>
    </row>
    <row r="50" spans="2:25" ht="12.75">
      <c r="B50" s="391"/>
      <c r="C50" s="133"/>
      <c r="D50" s="396"/>
      <c r="E50" s="133"/>
      <c r="F50" s="396"/>
      <c r="G50" s="342"/>
      <c r="H50" s="396"/>
      <c r="I50" s="348"/>
      <c r="J50" s="391"/>
      <c r="K50" s="133"/>
      <c r="L50" s="396"/>
      <c r="M50" s="342"/>
      <c r="N50" s="396"/>
      <c r="O50" s="348"/>
      <c r="P50" s="396"/>
      <c r="Q50" s="133"/>
      <c r="R50" s="396"/>
      <c r="S50" s="133"/>
      <c r="T50" s="396"/>
      <c r="U50" s="133"/>
      <c r="V50" s="396"/>
      <c r="W50" s="133"/>
      <c r="X50" s="396"/>
      <c r="Y50" s="133"/>
    </row>
    <row r="51" spans="2:25" ht="12.75" customHeight="1">
      <c r="B51" s="391">
        <f>B3+24</f>
        <v>44160</v>
      </c>
      <c r="C51" s="341" t="s">
        <v>310</v>
      </c>
      <c r="D51" s="396">
        <f>B3+54</f>
        <v>44190</v>
      </c>
      <c r="E51" s="134"/>
      <c r="F51" s="396">
        <f>B3+85</f>
        <v>44221</v>
      </c>
      <c r="G51" s="341"/>
      <c r="H51" s="396">
        <f>B3+116</f>
        <v>44252</v>
      </c>
      <c r="I51" s="347" t="s">
        <v>310</v>
      </c>
      <c r="J51" s="391">
        <f>J3+24</f>
        <v>44280</v>
      </c>
      <c r="K51" s="131"/>
      <c r="L51" s="396">
        <f>J3+55</f>
        <v>44311</v>
      </c>
      <c r="M51" s="341" t="s">
        <v>310</v>
      </c>
      <c r="N51" s="396">
        <f>J3+85</f>
        <v>44341</v>
      </c>
      <c r="O51" s="347" t="s">
        <v>310</v>
      </c>
      <c r="P51" s="396">
        <f>J3+116</f>
        <v>44372</v>
      </c>
      <c r="Q51" s="131" t="s">
        <v>310</v>
      </c>
      <c r="R51" s="396">
        <f>J3+146</f>
        <v>44402</v>
      </c>
      <c r="S51" s="131" t="s">
        <v>310</v>
      </c>
      <c r="T51" s="396">
        <f>J3+178</f>
        <v>44434</v>
      </c>
      <c r="U51" s="131" t="s">
        <v>5</v>
      </c>
      <c r="V51" s="396">
        <f>J3+208</f>
        <v>44464</v>
      </c>
      <c r="W51" s="131"/>
      <c r="X51" s="396">
        <f>J3+238</f>
        <v>44494</v>
      </c>
      <c r="Y51" s="131"/>
    </row>
    <row r="52" spans="2:25" ht="12.75">
      <c r="B52" s="391"/>
      <c r="C52" s="133"/>
      <c r="D52" s="396"/>
      <c r="E52" s="133"/>
      <c r="F52" s="396"/>
      <c r="G52" s="342"/>
      <c r="H52" s="396"/>
      <c r="I52" s="348"/>
      <c r="J52" s="391"/>
      <c r="K52" s="133"/>
      <c r="L52" s="396"/>
      <c r="M52" s="342"/>
      <c r="N52" s="396"/>
      <c r="O52" s="348"/>
      <c r="P52" s="396"/>
      <c r="Q52" s="133"/>
      <c r="R52" s="396"/>
      <c r="S52" s="133"/>
      <c r="T52" s="396"/>
      <c r="U52" s="133"/>
      <c r="V52" s="396"/>
      <c r="W52" s="133"/>
      <c r="X52" s="396"/>
      <c r="Y52" s="133"/>
    </row>
    <row r="53" spans="2:25" ht="12.75" customHeight="1">
      <c r="B53" s="391">
        <f>B3+25</f>
        <v>44161</v>
      </c>
      <c r="C53" s="131"/>
      <c r="D53" s="396">
        <f>B3+55</f>
        <v>44191</v>
      </c>
      <c r="E53" s="134"/>
      <c r="F53" s="396">
        <f>B3+86</f>
        <v>44222</v>
      </c>
      <c r="G53" s="341" t="s">
        <v>310</v>
      </c>
      <c r="H53" s="396">
        <f>B3+117</f>
        <v>44253</v>
      </c>
      <c r="I53" s="347" t="s">
        <v>310</v>
      </c>
      <c r="J53" s="391">
        <f>J3+25</f>
        <v>44281</v>
      </c>
      <c r="K53" s="131"/>
      <c r="L53" s="396">
        <f>J3+56</f>
        <v>44312</v>
      </c>
      <c r="M53" s="341" t="s">
        <v>310</v>
      </c>
      <c r="N53" s="396">
        <f>J3+86</f>
        <v>44342</v>
      </c>
      <c r="O53" s="347" t="s">
        <v>310</v>
      </c>
      <c r="P53" s="396">
        <f>J3+117</f>
        <v>44373</v>
      </c>
      <c r="Q53" s="131" t="s">
        <v>310</v>
      </c>
      <c r="R53" s="396">
        <f>J3+147</f>
        <v>44403</v>
      </c>
      <c r="S53" s="131" t="s">
        <v>310</v>
      </c>
      <c r="T53" s="396">
        <f>J3+179</f>
        <v>44435</v>
      </c>
      <c r="U53" s="131" t="s">
        <v>3</v>
      </c>
      <c r="V53" s="396">
        <f>J3+209</f>
        <v>44465</v>
      </c>
      <c r="W53" s="131"/>
      <c r="X53" s="396">
        <f>J3+239</f>
        <v>44495</v>
      </c>
      <c r="Y53" s="131"/>
    </row>
    <row r="54" spans="2:25" ht="12.75">
      <c r="B54" s="391"/>
      <c r="C54" s="133"/>
      <c r="D54" s="396"/>
      <c r="E54" s="133"/>
      <c r="F54" s="396"/>
      <c r="G54" s="342"/>
      <c r="H54" s="396"/>
      <c r="I54" s="348"/>
      <c r="J54" s="391"/>
      <c r="K54" s="133"/>
      <c r="L54" s="396"/>
      <c r="M54" s="342"/>
      <c r="N54" s="396"/>
      <c r="O54" s="348"/>
      <c r="P54" s="396"/>
      <c r="Q54" s="133"/>
      <c r="R54" s="396"/>
      <c r="S54" s="133"/>
      <c r="T54" s="396"/>
      <c r="U54" s="133" t="s">
        <v>289</v>
      </c>
      <c r="V54" s="396"/>
      <c r="W54" s="133"/>
      <c r="X54" s="396"/>
      <c r="Y54" s="133"/>
    </row>
    <row r="55" spans="2:25" ht="12.75" customHeight="1">
      <c r="B55" s="391">
        <f>B3+26</f>
        <v>44162</v>
      </c>
      <c r="C55" s="131"/>
      <c r="D55" s="396">
        <f>B3+56</f>
        <v>44192</v>
      </c>
      <c r="E55" s="131"/>
      <c r="F55" s="396">
        <f>B3+87</f>
        <v>44223</v>
      </c>
      <c r="G55" s="341" t="s">
        <v>310</v>
      </c>
      <c r="H55" s="396">
        <f>B3+118</f>
        <v>44254</v>
      </c>
      <c r="I55" s="347" t="s">
        <v>310</v>
      </c>
      <c r="J55" s="391">
        <f>J3+26</f>
        <v>44282</v>
      </c>
      <c r="K55" s="131" t="s">
        <v>310</v>
      </c>
      <c r="L55" s="396">
        <f>J3+57</f>
        <v>44313</v>
      </c>
      <c r="M55" s="341" t="s">
        <v>310</v>
      </c>
      <c r="N55" s="396">
        <f>J3+87</f>
        <v>44343</v>
      </c>
      <c r="O55" s="347" t="s">
        <v>310</v>
      </c>
      <c r="P55" s="396">
        <f>J3+118</f>
        <v>44374</v>
      </c>
      <c r="Q55" s="131" t="s">
        <v>310</v>
      </c>
      <c r="R55" s="396">
        <f>J3+148</f>
        <v>44404</v>
      </c>
      <c r="S55" s="131" t="s">
        <v>310</v>
      </c>
      <c r="T55" s="396">
        <f>J3+180</f>
        <v>44436</v>
      </c>
      <c r="U55" s="131" t="s">
        <v>310</v>
      </c>
      <c r="V55" s="396">
        <f>J3+210</f>
        <v>44466</v>
      </c>
      <c r="W55" s="131"/>
      <c r="X55" s="396">
        <f>J3+240</f>
        <v>44496</v>
      </c>
      <c r="Y55" s="131"/>
    </row>
    <row r="56" spans="2:25" ht="12.75">
      <c r="B56" s="391"/>
      <c r="C56" s="133"/>
      <c r="D56" s="396"/>
      <c r="E56" s="133"/>
      <c r="F56" s="396"/>
      <c r="G56" s="342"/>
      <c r="H56" s="396"/>
      <c r="I56" s="348"/>
      <c r="J56" s="391"/>
      <c r="K56" s="133"/>
      <c r="L56" s="396"/>
      <c r="M56" s="342"/>
      <c r="N56" s="396"/>
      <c r="O56" s="348"/>
      <c r="P56" s="396"/>
      <c r="Q56" s="133"/>
      <c r="R56" s="396"/>
      <c r="S56" s="133"/>
      <c r="T56" s="396"/>
      <c r="U56" s="133"/>
      <c r="V56" s="396"/>
      <c r="W56" s="133"/>
      <c r="X56" s="396"/>
      <c r="Y56" s="133"/>
    </row>
    <row r="57" spans="2:25" ht="12.75" customHeight="1">
      <c r="B57" s="391">
        <f>B3+27</f>
        <v>44163</v>
      </c>
      <c r="C57" s="341" t="s">
        <v>310</v>
      </c>
      <c r="D57" s="396">
        <f>B3+57</f>
        <v>44193</v>
      </c>
      <c r="E57" s="363" t="s">
        <v>310</v>
      </c>
      <c r="F57" s="396">
        <f>B3+88</f>
        <v>44224</v>
      </c>
      <c r="G57" s="341" t="s">
        <v>310</v>
      </c>
      <c r="H57" s="396">
        <f>B3+119</f>
        <v>44255</v>
      </c>
      <c r="I57" s="347" t="s">
        <v>310</v>
      </c>
      <c r="J57" s="391">
        <f>J3+27</f>
        <v>44283</v>
      </c>
      <c r="K57" s="131" t="s">
        <v>310</v>
      </c>
      <c r="L57" s="396">
        <f>J3+58</f>
        <v>44314</v>
      </c>
      <c r="M57" s="341" t="s">
        <v>310</v>
      </c>
      <c r="N57" s="396">
        <f>J3+88</f>
        <v>44344</v>
      </c>
      <c r="O57" s="347" t="s">
        <v>310</v>
      </c>
      <c r="P57" s="396">
        <f>J3+119</f>
        <v>44375</v>
      </c>
      <c r="Q57" s="131" t="s">
        <v>310</v>
      </c>
      <c r="R57" s="396">
        <f>J3+149</f>
        <v>44405</v>
      </c>
      <c r="S57" s="131" t="s">
        <v>321</v>
      </c>
      <c r="T57" s="396">
        <f>J3+181</f>
        <v>44437</v>
      </c>
      <c r="U57" s="339" t="s">
        <v>316</v>
      </c>
      <c r="V57" s="396">
        <f>J3+211</f>
        <v>44467</v>
      </c>
      <c r="W57" s="131"/>
      <c r="X57" s="396">
        <f>J3+241</f>
        <v>44497</v>
      </c>
      <c r="Y57" s="131"/>
    </row>
    <row r="58" spans="2:25" ht="12.75">
      <c r="B58" s="391"/>
      <c r="C58" s="133"/>
      <c r="D58" s="396"/>
      <c r="E58" s="348"/>
      <c r="F58" s="396"/>
      <c r="G58" s="342"/>
      <c r="H58" s="396"/>
      <c r="I58" s="348"/>
      <c r="J58" s="391"/>
      <c r="K58" s="133"/>
      <c r="L58" s="396"/>
      <c r="M58" s="342"/>
      <c r="N58" s="396"/>
      <c r="O58" s="348"/>
      <c r="P58" s="396"/>
      <c r="Q58" s="133"/>
      <c r="R58" s="396"/>
      <c r="S58" s="133"/>
      <c r="T58" s="396"/>
      <c r="U58" s="340"/>
      <c r="V58" s="396"/>
      <c r="W58" s="133"/>
      <c r="X58" s="396"/>
      <c r="Y58" s="133"/>
    </row>
    <row r="59" spans="2:25" ht="12.75" customHeight="1">
      <c r="B59" s="391">
        <f>B3+28</f>
        <v>44164</v>
      </c>
      <c r="C59" s="341" t="s">
        <v>310</v>
      </c>
      <c r="D59" s="396">
        <f>B3+58</f>
        <v>44194</v>
      </c>
      <c r="E59" s="363" t="s">
        <v>310</v>
      </c>
      <c r="F59" s="396">
        <f>B3+89</f>
        <v>44225</v>
      </c>
      <c r="G59" s="344" t="s">
        <v>310</v>
      </c>
      <c r="H59" s="396"/>
      <c r="I59" s="347"/>
      <c r="J59" s="391">
        <f>J3+28</f>
        <v>44284</v>
      </c>
      <c r="K59" s="131" t="s">
        <v>310</v>
      </c>
      <c r="L59" s="396">
        <f>J3+59</f>
        <v>44315</v>
      </c>
      <c r="M59" s="341" t="s">
        <v>310</v>
      </c>
      <c r="N59" s="396">
        <f>J3+89</f>
        <v>44345</v>
      </c>
      <c r="O59" s="347" t="s">
        <v>310</v>
      </c>
      <c r="P59" s="396">
        <f>J3+120</f>
        <v>44376</v>
      </c>
      <c r="Q59" s="131" t="s">
        <v>310</v>
      </c>
      <c r="R59" s="396">
        <f>J3+150</f>
        <v>44406</v>
      </c>
      <c r="S59" s="131" t="s">
        <v>321</v>
      </c>
      <c r="T59" s="396">
        <f>J3+182</f>
        <v>44438</v>
      </c>
      <c r="U59" s="131" t="s">
        <v>310</v>
      </c>
      <c r="V59" s="396">
        <f>J3+212</f>
        <v>44468</v>
      </c>
      <c r="W59" s="131"/>
      <c r="X59" s="396">
        <f>J3+242</f>
        <v>44498</v>
      </c>
      <c r="Y59" s="131"/>
    </row>
    <row r="60" spans="2:25" ht="12.75">
      <c r="B60" s="391"/>
      <c r="C60" s="133"/>
      <c r="D60" s="396"/>
      <c r="E60" s="348"/>
      <c r="F60" s="396"/>
      <c r="G60" s="342"/>
      <c r="H60" s="396"/>
      <c r="I60" s="342"/>
      <c r="J60" s="391"/>
      <c r="K60" s="133"/>
      <c r="L60" s="396"/>
      <c r="M60" s="342"/>
      <c r="N60" s="396"/>
      <c r="O60" s="348"/>
      <c r="P60" s="396"/>
      <c r="Q60" s="348"/>
      <c r="R60" s="396"/>
      <c r="S60" s="133"/>
      <c r="T60" s="396"/>
      <c r="U60" s="133"/>
      <c r="V60" s="396"/>
      <c r="W60" s="133"/>
      <c r="X60" s="396"/>
      <c r="Y60" s="133"/>
    </row>
    <row r="61" spans="2:25" ht="12.75" customHeight="1">
      <c r="B61" s="391">
        <f>B3+29</f>
        <v>44165</v>
      </c>
      <c r="C61" s="341" t="s">
        <v>310</v>
      </c>
      <c r="D61" s="396">
        <f>B3+59</f>
        <v>44195</v>
      </c>
      <c r="E61" s="363" t="s">
        <v>310</v>
      </c>
      <c r="F61" s="396">
        <f>B3+90</f>
        <v>44226</v>
      </c>
      <c r="G61" s="341" t="s">
        <v>310</v>
      </c>
      <c r="H61" s="397"/>
      <c r="I61" s="141"/>
      <c r="J61" s="391">
        <f>J3+29</f>
        <v>44285</v>
      </c>
      <c r="K61" s="131" t="s">
        <v>310</v>
      </c>
      <c r="L61" s="396">
        <f>J3+60</f>
        <v>44316</v>
      </c>
      <c r="M61" s="344" t="s">
        <v>310</v>
      </c>
      <c r="N61" s="396">
        <f>J3+90</f>
        <v>44346</v>
      </c>
      <c r="O61" s="347" t="s">
        <v>310</v>
      </c>
      <c r="P61" s="396">
        <f>J3+121</f>
        <v>44377</v>
      </c>
      <c r="Q61" s="131" t="s">
        <v>327</v>
      </c>
      <c r="R61" s="396">
        <f>J3+151</f>
        <v>44407</v>
      </c>
      <c r="S61" s="131" t="s">
        <v>310</v>
      </c>
      <c r="T61" s="396">
        <f>J3+183</f>
        <v>44439</v>
      </c>
      <c r="U61" s="131" t="s">
        <v>310</v>
      </c>
      <c r="V61" s="396">
        <f>J3+213</f>
        <v>44469</v>
      </c>
      <c r="W61" s="131"/>
      <c r="X61" s="396">
        <f>J3+243</f>
        <v>44499</v>
      </c>
      <c r="Y61" s="131"/>
    </row>
    <row r="62" spans="2:25" ht="12.75">
      <c r="B62" s="391"/>
      <c r="C62" s="133"/>
      <c r="D62" s="396"/>
      <c r="E62" s="348"/>
      <c r="F62" s="396"/>
      <c r="G62" s="342"/>
      <c r="H62" s="397"/>
      <c r="I62" s="133"/>
      <c r="J62" s="391"/>
      <c r="K62" s="133"/>
      <c r="L62" s="396"/>
      <c r="M62" s="133"/>
      <c r="N62" s="396"/>
      <c r="O62" s="348"/>
      <c r="P62" s="396"/>
      <c r="Q62" s="133"/>
      <c r="R62" s="396"/>
      <c r="S62" s="133"/>
      <c r="T62" s="396"/>
      <c r="U62" s="133"/>
      <c r="V62" s="396"/>
      <c r="W62" s="133"/>
      <c r="X62" s="396"/>
      <c r="Y62" s="133"/>
    </row>
    <row r="63" spans="2:25" ht="12.75" customHeight="1" thickBot="1">
      <c r="B63" s="390"/>
      <c r="C63" s="131"/>
      <c r="D63" s="389">
        <f>B3+60</f>
        <v>44196</v>
      </c>
      <c r="E63" s="363" t="s">
        <v>310</v>
      </c>
      <c r="F63" s="389">
        <f>B3+91</f>
        <v>44227</v>
      </c>
      <c r="G63" s="341" t="s">
        <v>310</v>
      </c>
      <c r="H63" s="390"/>
      <c r="I63" s="141"/>
      <c r="J63" s="389">
        <f>J3+30</f>
        <v>44286</v>
      </c>
      <c r="K63" s="131" t="s">
        <v>310</v>
      </c>
      <c r="L63" s="393"/>
      <c r="M63" s="141"/>
      <c r="N63" s="389">
        <f>J3+91</f>
        <v>44347</v>
      </c>
      <c r="O63" s="357" t="s">
        <v>310</v>
      </c>
      <c r="P63" s="394"/>
      <c r="Q63" s="141"/>
      <c r="R63" s="389">
        <f>J3+152</f>
        <v>44408</v>
      </c>
      <c r="S63" s="131" t="s">
        <v>321</v>
      </c>
      <c r="T63" s="389"/>
      <c r="U63" s="131"/>
      <c r="V63" s="390"/>
      <c r="W63" s="131"/>
      <c r="X63" s="391">
        <f>J3+244</f>
        <v>44500</v>
      </c>
      <c r="Y63" s="134"/>
    </row>
    <row r="64" spans="2:25" ht="13.5" thickBot="1">
      <c r="B64" s="390"/>
      <c r="C64" s="142"/>
      <c r="D64" s="389"/>
      <c r="E64" s="142"/>
      <c r="F64" s="389"/>
      <c r="G64" s="142"/>
      <c r="H64" s="390"/>
      <c r="I64" s="142"/>
      <c r="J64" s="389"/>
      <c r="K64" s="142"/>
      <c r="L64" s="393"/>
      <c r="M64" s="142"/>
      <c r="N64" s="389"/>
      <c r="O64" s="143"/>
      <c r="P64" s="395"/>
      <c r="Q64" s="142"/>
      <c r="R64" s="389"/>
      <c r="S64" s="142"/>
      <c r="T64" s="389"/>
      <c r="U64" s="142"/>
      <c r="V64" s="390"/>
      <c r="W64" s="142"/>
      <c r="X64" s="392"/>
      <c r="Y64" s="142"/>
    </row>
    <row r="65" ht="12.75">
      <c r="C65" s="144"/>
    </row>
    <row r="66" spans="2:25" ht="12.75">
      <c r="B66" s="86" t="s">
        <v>132</v>
      </c>
      <c r="D66" s="138"/>
      <c r="E66" s="145"/>
      <c r="F66" s="138"/>
      <c r="G66" s="138"/>
      <c r="H66" s="138"/>
      <c r="I66" s="146" t="s">
        <v>3</v>
      </c>
      <c r="J66" s="138"/>
      <c r="K66" s="146" t="s">
        <v>4</v>
      </c>
      <c r="L66" s="138"/>
      <c r="M66" s="146" t="s">
        <v>5</v>
      </c>
      <c r="N66" s="59"/>
      <c r="O66" s="6"/>
      <c r="P66" s="147"/>
      <c r="Q66" s="148" t="s">
        <v>3</v>
      </c>
      <c r="R66" s="138"/>
      <c r="S66" s="148" t="s">
        <v>4</v>
      </c>
      <c r="T66" s="138"/>
      <c r="U66" s="148" t="s">
        <v>5</v>
      </c>
      <c r="V66" s="138"/>
      <c r="W66" s="145"/>
      <c r="X66" s="86" t="s">
        <v>132</v>
      </c>
      <c r="Y66" s="87"/>
    </row>
    <row r="67" spans="2:25" ht="12.75">
      <c r="B67" s="85"/>
      <c r="C67" t="s">
        <v>133</v>
      </c>
      <c r="D67" s="6"/>
      <c r="E67" s="58"/>
      <c r="F67" s="6"/>
      <c r="G67" s="6" t="s">
        <v>319</v>
      </c>
      <c r="H67" s="6"/>
      <c r="I67" s="6" t="s">
        <v>134</v>
      </c>
      <c r="J67" s="6"/>
      <c r="K67" s="6" t="s">
        <v>135</v>
      </c>
      <c r="L67" s="6"/>
      <c r="M67" s="6" t="s">
        <v>136</v>
      </c>
      <c r="N67" s="59"/>
      <c r="O67" s="6"/>
      <c r="P67" s="59"/>
      <c r="Q67" s="6"/>
      <c r="R67" s="6"/>
      <c r="S67" s="6"/>
      <c r="T67" s="6"/>
      <c r="U67" s="6"/>
      <c r="V67" s="6"/>
      <c r="W67" s="58"/>
      <c r="X67" s="67" t="s">
        <v>137</v>
      </c>
      <c r="Y67" s="149"/>
    </row>
    <row r="68" spans="2:25" ht="12.75">
      <c r="B68" s="85"/>
      <c r="C68" s="68" t="s">
        <v>138</v>
      </c>
      <c r="D68" s="6"/>
      <c r="E68" s="58"/>
      <c r="F68" s="6"/>
      <c r="G68" s="6"/>
      <c r="H68" s="6"/>
      <c r="I68" s="6"/>
      <c r="J68" s="6"/>
      <c r="K68" s="6"/>
      <c r="L68" s="6"/>
      <c r="M68" s="6"/>
      <c r="N68" s="59"/>
      <c r="O68" s="6"/>
      <c r="P68" s="59"/>
      <c r="Q68" s="6"/>
      <c r="R68" s="6"/>
      <c r="S68" s="6"/>
      <c r="T68" s="6"/>
      <c r="U68" s="6"/>
      <c r="V68" s="6"/>
      <c r="W68" s="58"/>
      <c r="X68" s="137"/>
      <c r="Y68" s="150" t="s">
        <v>139</v>
      </c>
    </row>
    <row r="69" spans="2:23" ht="12.75">
      <c r="B69" s="85"/>
      <c r="C69" s="68" t="s">
        <v>140</v>
      </c>
      <c r="D69" s="6"/>
      <c r="E69" s="58"/>
      <c r="F69" s="6"/>
      <c r="G69" s="6" t="s">
        <v>320</v>
      </c>
      <c r="H69" s="6"/>
      <c r="I69" s="6" t="s">
        <v>136</v>
      </c>
      <c r="J69" s="6"/>
      <c r="K69" s="6" t="s">
        <v>141</v>
      </c>
      <c r="L69" s="6"/>
      <c r="M69" s="6" t="s">
        <v>142</v>
      </c>
      <c r="N69" s="59"/>
      <c r="O69" s="67"/>
      <c r="P69" s="59"/>
      <c r="Q69" s="67"/>
      <c r="R69" s="6"/>
      <c r="S69" s="6"/>
      <c r="T69" s="6"/>
      <c r="U69" s="6"/>
      <c r="V69" s="6"/>
      <c r="W69" s="58"/>
    </row>
    <row r="70" spans="2:23" ht="12.75">
      <c r="B70" s="85"/>
      <c r="C70" s="68" t="s">
        <v>143</v>
      </c>
      <c r="D70" s="6"/>
      <c r="E70" s="58"/>
      <c r="F70" s="6"/>
      <c r="G70" s="6"/>
      <c r="H70" s="151" t="s">
        <v>43</v>
      </c>
      <c r="I70" s="6"/>
      <c r="J70" s="151" t="s">
        <v>43</v>
      </c>
      <c r="K70" s="6"/>
      <c r="L70" s="151" t="s">
        <v>43</v>
      </c>
      <c r="M70" s="6"/>
      <c r="N70" s="59"/>
      <c r="O70" s="67"/>
      <c r="P70" s="59"/>
      <c r="Q70" s="152" t="s">
        <v>144</v>
      </c>
      <c r="R70" s="6"/>
      <c r="S70" s="152" t="s">
        <v>145</v>
      </c>
      <c r="T70" s="6"/>
      <c r="U70" s="152" t="s">
        <v>146</v>
      </c>
      <c r="V70" s="6"/>
      <c r="W70" s="153" t="s">
        <v>147</v>
      </c>
    </row>
    <row r="71" spans="2:23" ht="13.5" customHeight="1">
      <c r="B71" s="85"/>
      <c r="C71" s="68" t="s">
        <v>148</v>
      </c>
      <c r="E71" s="58"/>
      <c r="F71" s="388" t="s">
        <v>149</v>
      </c>
      <c r="H71" s="154" t="s">
        <v>150</v>
      </c>
      <c r="I71" s="154"/>
      <c r="J71" s="154" t="s">
        <v>151</v>
      </c>
      <c r="K71" s="6"/>
      <c r="L71" s="154" t="s">
        <v>152</v>
      </c>
      <c r="N71" s="59"/>
      <c r="O71" s="67"/>
      <c r="P71" s="59"/>
      <c r="Q71" s="67" t="s">
        <v>153</v>
      </c>
      <c r="R71" s="6"/>
      <c r="S71" s="67"/>
      <c r="T71" s="6"/>
      <c r="U71" s="67" t="s">
        <v>153</v>
      </c>
      <c r="V71" s="6"/>
      <c r="W71" s="155" t="s">
        <v>154</v>
      </c>
    </row>
    <row r="72" spans="2:23" ht="12.75">
      <c r="B72" s="85"/>
      <c r="C72" t="s">
        <v>155</v>
      </c>
      <c r="D72" s="6"/>
      <c r="E72" s="58"/>
      <c r="F72" s="388"/>
      <c r="G72" s="9" t="s">
        <v>0</v>
      </c>
      <c r="H72" s="156">
        <v>0.1</v>
      </c>
      <c r="I72" s="154" t="s">
        <v>156</v>
      </c>
      <c r="J72" s="156"/>
      <c r="K72" s="154" t="s">
        <v>157</v>
      </c>
      <c r="L72" s="156">
        <v>1</v>
      </c>
      <c r="M72" s="154" t="s">
        <v>158</v>
      </c>
      <c r="N72" s="59"/>
      <c r="O72" s="67"/>
      <c r="P72" s="59"/>
      <c r="Q72" s="66" t="s">
        <v>159</v>
      </c>
      <c r="R72" s="6"/>
      <c r="S72" s="6"/>
      <c r="T72" s="6"/>
      <c r="U72" s="66" t="s">
        <v>160</v>
      </c>
      <c r="V72" s="6"/>
      <c r="W72" s="58"/>
    </row>
    <row r="73" spans="2:23" ht="12.75">
      <c r="B73" s="85"/>
      <c r="C73" t="s">
        <v>161</v>
      </c>
      <c r="D73" s="6"/>
      <c r="E73" s="58"/>
      <c r="F73" s="388"/>
      <c r="G73" s="6"/>
      <c r="H73" s="156">
        <v>0.4</v>
      </c>
      <c r="I73" s="154" t="s">
        <v>162</v>
      </c>
      <c r="J73" s="6"/>
      <c r="K73" s="6"/>
      <c r="L73" s="6"/>
      <c r="M73" s="6"/>
      <c r="N73" s="59"/>
      <c r="O73" s="157"/>
      <c r="P73" s="59"/>
      <c r="Q73" s="66" t="s">
        <v>163</v>
      </c>
      <c r="R73" s="6"/>
      <c r="S73" s="6"/>
      <c r="T73" s="6"/>
      <c r="U73" s="66" t="s">
        <v>164</v>
      </c>
      <c r="V73" s="6"/>
      <c r="W73" s="58"/>
    </row>
    <row r="74" spans="2:23" ht="12.75">
      <c r="B74" s="85"/>
      <c r="C74" s="68" t="s">
        <v>165</v>
      </c>
      <c r="D74" s="6"/>
      <c r="E74" s="58"/>
      <c r="F74" s="388"/>
      <c r="G74" s="6"/>
      <c r="H74" s="158">
        <v>1.5</v>
      </c>
      <c r="I74" s="159">
        <f>PRODUCT(17.6*H74)</f>
        <v>26.400000000000002</v>
      </c>
      <c r="J74" s="158">
        <v>40</v>
      </c>
      <c r="K74" s="160">
        <f>PRODUCT(2*J74)</f>
        <v>80</v>
      </c>
      <c r="L74" s="158">
        <v>10</v>
      </c>
      <c r="M74" s="159">
        <f>PRODUCT(4.55*L74)</f>
        <v>45.5</v>
      </c>
      <c r="N74" s="161" t="s">
        <v>77</v>
      </c>
      <c r="O74" s="67"/>
      <c r="P74" s="59"/>
      <c r="Q74" s="67" t="s">
        <v>43</v>
      </c>
      <c r="R74" s="6"/>
      <c r="S74" s="67" t="s">
        <v>43</v>
      </c>
      <c r="T74" s="6"/>
      <c r="U74" s="67" t="s">
        <v>43</v>
      </c>
      <c r="V74" s="6"/>
      <c r="W74" s="58"/>
    </row>
    <row r="75" spans="2:23" ht="12.75">
      <c r="B75" s="85"/>
      <c r="C75" s="68" t="s">
        <v>166</v>
      </c>
      <c r="D75" s="6"/>
      <c r="E75" s="58"/>
      <c r="F75" s="388"/>
      <c r="N75" s="6"/>
      <c r="O75" s="162"/>
      <c r="P75" s="59"/>
      <c r="Q75" s="66" t="s">
        <v>167</v>
      </c>
      <c r="R75" s="6"/>
      <c r="S75" s="6" t="s">
        <v>168</v>
      </c>
      <c r="T75" s="6"/>
      <c r="U75" s="6" t="s">
        <v>169</v>
      </c>
      <c r="V75" s="6"/>
      <c r="W75" s="58"/>
    </row>
    <row r="76" spans="2:23" ht="12.75">
      <c r="B76" s="85"/>
      <c r="C76" s="68" t="s">
        <v>170</v>
      </c>
      <c r="D76" s="6"/>
      <c r="E76" s="58"/>
      <c r="F76" s="388"/>
      <c r="G76" s="10" t="s">
        <v>1</v>
      </c>
      <c r="H76" s="156">
        <v>0.1</v>
      </c>
      <c r="I76" s="154" t="s">
        <v>171</v>
      </c>
      <c r="J76" s="156"/>
      <c r="K76" s="154" t="s">
        <v>172</v>
      </c>
      <c r="L76" s="156">
        <v>0.4</v>
      </c>
      <c r="M76" s="154" t="s">
        <v>171</v>
      </c>
      <c r="N76" s="6"/>
      <c r="O76" s="162"/>
      <c r="P76" s="59"/>
      <c r="Q76" s="163" t="s">
        <v>173</v>
      </c>
      <c r="R76" s="6"/>
      <c r="S76" s="6" t="s">
        <v>174</v>
      </c>
      <c r="T76" s="6"/>
      <c r="U76" s="6" t="s">
        <v>175</v>
      </c>
      <c r="V76" s="6"/>
      <c r="W76" s="58"/>
    </row>
    <row r="77" spans="2:23" ht="12.75">
      <c r="B77" s="85"/>
      <c r="C77" s="68" t="s">
        <v>176</v>
      </c>
      <c r="D77" s="6"/>
      <c r="E77" s="58"/>
      <c r="F77" s="388"/>
      <c r="G77" s="6"/>
      <c r="H77" s="156">
        <v>0.4</v>
      </c>
      <c r="I77" s="154" t="s">
        <v>177</v>
      </c>
      <c r="J77" s="6"/>
      <c r="K77" s="6"/>
      <c r="L77" s="156">
        <v>0.8</v>
      </c>
      <c r="M77" s="154" t="s">
        <v>178</v>
      </c>
      <c r="N77" s="6"/>
      <c r="O77" s="162"/>
      <c r="P77" s="59"/>
      <c r="Q77" s="67"/>
      <c r="R77" s="6"/>
      <c r="S77" s="6" t="s">
        <v>179</v>
      </c>
      <c r="T77" s="6"/>
      <c r="U77" s="6" t="s">
        <v>180</v>
      </c>
      <c r="V77" s="6"/>
      <c r="W77" s="58"/>
    </row>
    <row r="78" spans="2:23" ht="12.75">
      <c r="B78" s="85"/>
      <c r="C78" s="68" t="s">
        <v>181</v>
      </c>
      <c r="D78" s="6"/>
      <c r="E78" s="58"/>
      <c r="F78" s="388"/>
      <c r="G78" s="6"/>
      <c r="H78" s="164">
        <f>H74</f>
        <v>1.5</v>
      </c>
      <c r="I78" s="165">
        <f>PRODUCT(16*H78)</f>
        <v>24</v>
      </c>
      <c r="J78" s="164">
        <f>J74</f>
        <v>40</v>
      </c>
      <c r="K78" s="165">
        <f>PRODUCT(1.875*J78)</f>
        <v>75</v>
      </c>
      <c r="L78" s="164">
        <f>L74</f>
        <v>10</v>
      </c>
      <c r="M78" s="166">
        <f>PRODUCT(4.25*L78)</f>
        <v>42.5</v>
      </c>
      <c r="N78" s="161" t="s">
        <v>77</v>
      </c>
      <c r="O78" s="162"/>
      <c r="P78" s="59"/>
      <c r="Q78" s="67"/>
      <c r="R78" s="6"/>
      <c r="S78" s="6" t="s">
        <v>182</v>
      </c>
      <c r="T78" s="6"/>
      <c r="U78" s="6" t="s">
        <v>183</v>
      </c>
      <c r="V78" s="6"/>
      <c r="W78" s="58"/>
    </row>
    <row r="79" spans="2:23" ht="12.75">
      <c r="B79" s="167"/>
      <c r="C79" s="168" t="s">
        <v>184</v>
      </c>
      <c r="D79" s="137"/>
      <c r="E79" s="169"/>
      <c r="F79" s="388"/>
      <c r="N79" s="6"/>
      <c r="O79" s="170"/>
      <c r="P79" s="59"/>
      <c r="Q79" s="67"/>
      <c r="R79" s="6"/>
      <c r="S79" s="6" t="s">
        <v>185</v>
      </c>
      <c r="T79" s="6"/>
      <c r="U79" s="6" t="s">
        <v>186</v>
      </c>
      <c r="V79" s="6"/>
      <c r="W79" s="58"/>
    </row>
    <row r="80" spans="3:23" ht="12.75">
      <c r="C80" s="171"/>
      <c r="F80" s="388"/>
      <c r="G80" s="11" t="s">
        <v>2</v>
      </c>
      <c r="H80" s="156">
        <v>0.1</v>
      </c>
      <c r="I80" s="154" t="s">
        <v>187</v>
      </c>
      <c r="J80" s="156"/>
      <c r="K80" s="154" t="s">
        <v>188</v>
      </c>
      <c r="L80" s="156">
        <v>0.4</v>
      </c>
      <c r="M80" s="154" t="s">
        <v>189</v>
      </c>
      <c r="N80" s="6"/>
      <c r="P80" s="59"/>
      <c r="Q80" s="67"/>
      <c r="R80" s="6"/>
      <c r="S80" s="6" t="s">
        <v>190</v>
      </c>
      <c r="T80" s="6"/>
      <c r="U80" s="6" t="s">
        <v>191</v>
      </c>
      <c r="V80" s="6"/>
      <c r="W80" s="58"/>
    </row>
    <row r="81" spans="2:23" ht="12.75">
      <c r="B81" t="s">
        <v>192</v>
      </c>
      <c r="C81" s="172"/>
      <c r="F81" s="388"/>
      <c r="G81" s="6"/>
      <c r="H81" s="156">
        <v>0.4</v>
      </c>
      <c r="I81" s="154" t="s">
        <v>193</v>
      </c>
      <c r="J81" s="6"/>
      <c r="K81" s="6"/>
      <c r="L81" s="156">
        <v>0.8</v>
      </c>
      <c r="M81" s="154" t="s">
        <v>194</v>
      </c>
      <c r="P81" s="59"/>
      <c r="Q81" s="67"/>
      <c r="R81" s="6"/>
      <c r="S81" s="6" t="s">
        <v>195</v>
      </c>
      <c r="T81" s="6"/>
      <c r="U81" s="6" t="s">
        <v>196</v>
      </c>
      <c r="V81" s="6"/>
      <c r="W81" s="58"/>
    </row>
    <row r="82" spans="6:23" ht="12.75">
      <c r="F82" s="388"/>
      <c r="H82" s="173">
        <f>H74</f>
        <v>1.5</v>
      </c>
      <c r="I82" s="174">
        <f>PRODUCT(15*H82)</f>
        <v>22.5</v>
      </c>
      <c r="J82" s="173">
        <f>J74</f>
        <v>40</v>
      </c>
      <c r="K82" s="174">
        <f>PRODUCT(1.75*J82)</f>
        <v>70</v>
      </c>
      <c r="L82" s="173">
        <f>L74</f>
        <v>10</v>
      </c>
      <c r="M82" s="175">
        <f>PRODUCT(3.95*L82)</f>
        <v>39.5</v>
      </c>
      <c r="N82" s="176" t="s">
        <v>77</v>
      </c>
      <c r="P82" s="59"/>
      <c r="Q82" s="67"/>
      <c r="R82" s="6"/>
      <c r="S82" s="6" t="s">
        <v>197</v>
      </c>
      <c r="T82" s="6"/>
      <c r="U82" s="6" t="s">
        <v>198</v>
      </c>
      <c r="V82" s="6"/>
      <c r="W82" s="58"/>
    </row>
    <row r="83" spans="16:23" ht="12.75">
      <c r="P83" s="59"/>
      <c r="Q83" s="67"/>
      <c r="R83" s="6"/>
      <c r="S83" s="6" t="s">
        <v>199</v>
      </c>
      <c r="T83" s="6"/>
      <c r="U83" s="6" t="s">
        <v>200</v>
      </c>
      <c r="V83" s="6"/>
      <c r="W83" s="58"/>
    </row>
    <row r="84" spans="6:23" ht="12.75">
      <c r="F84" s="8" t="s">
        <v>201</v>
      </c>
      <c r="P84" s="59"/>
      <c r="Q84" s="67"/>
      <c r="R84" s="6"/>
      <c r="S84" s="6" t="s">
        <v>202</v>
      </c>
      <c r="T84" s="6"/>
      <c r="U84" s="177" t="s">
        <v>203</v>
      </c>
      <c r="V84" s="6"/>
      <c r="W84" s="58"/>
    </row>
    <row r="85" spans="6:23" ht="12.75">
      <c r="F85" t="s">
        <v>204</v>
      </c>
      <c r="P85" s="59"/>
      <c r="Q85" s="67"/>
      <c r="R85" s="6"/>
      <c r="S85" s="6" t="s">
        <v>205</v>
      </c>
      <c r="T85" s="6"/>
      <c r="U85" s="6"/>
      <c r="V85" s="6"/>
      <c r="W85" s="58"/>
    </row>
    <row r="86" spans="6:23" ht="12.75">
      <c r="F86" s="8" t="s">
        <v>324</v>
      </c>
      <c r="P86" s="59"/>
      <c r="Q86" s="67"/>
      <c r="R86" s="6"/>
      <c r="S86" s="6" t="s">
        <v>206</v>
      </c>
      <c r="T86" s="6"/>
      <c r="U86" s="6"/>
      <c r="V86" s="6"/>
      <c r="W86" s="58"/>
    </row>
    <row r="87" spans="10:23" ht="12.75">
      <c r="J87" s="8" t="s">
        <v>325</v>
      </c>
      <c r="P87" s="59"/>
      <c r="Q87" s="67"/>
      <c r="R87" s="6"/>
      <c r="S87" s="6" t="s">
        <v>207</v>
      </c>
      <c r="T87" s="6"/>
      <c r="U87" s="6"/>
      <c r="V87" s="6"/>
      <c r="W87" s="58"/>
    </row>
    <row r="88" spans="14:23" ht="12.75">
      <c r="N88" s="8" t="s">
        <v>326</v>
      </c>
      <c r="P88" s="59"/>
      <c r="Q88" s="67"/>
      <c r="R88" s="6"/>
      <c r="S88" s="6" t="s">
        <v>208</v>
      </c>
      <c r="T88" s="6"/>
      <c r="U88" s="6"/>
      <c r="V88" s="6"/>
      <c r="W88" s="58"/>
    </row>
    <row r="89" spans="16:23" ht="12.75">
      <c r="P89" s="59"/>
      <c r="Q89" s="67"/>
      <c r="R89" s="6"/>
      <c r="S89" s="6" t="s">
        <v>209</v>
      </c>
      <c r="T89" s="6"/>
      <c r="U89" s="6"/>
      <c r="V89" s="6"/>
      <c r="W89" s="58"/>
    </row>
    <row r="90" spans="16:23" ht="12.75">
      <c r="P90" s="59"/>
      <c r="Q90" s="67"/>
      <c r="R90" s="6"/>
      <c r="S90" s="6" t="s">
        <v>210</v>
      </c>
      <c r="T90" s="6"/>
      <c r="U90" s="6"/>
      <c r="V90" s="6"/>
      <c r="W90" s="58"/>
    </row>
    <row r="91" spans="16:23" ht="12.75">
      <c r="P91" s="59"/>
      <c r="Q91" s="67"/>
      <c r="R91" s="6"/>
      <c r="S91" s="6" t="s">
        <v>211</v>
      </c>
      <c r="T91" s="6"/>
      <c r="U91" s="6"/>
      <c r="V91" s="6"/>
      <c r="W91" s="58"/>
    </row>
    <row r="92" spans="16:23" ht="12.75">
      <c r="P92" s="59"/>
      <c r="Q92" s="67"/>
      <c r="R92" s="6"/>
      <c r="S92" s="6" t="s">
        <v>212</v>
      </c>
      <c r="T92" s="6"/>
      <c r="U92" s="6"/>
      <c r="V92" s="6"/>
      <c r="W92" s="58"/>
    </row>
    <row r="93" spans="16:23" ht="12.75">
      <c r="P93" s="59"/>
      <c r="Q93" s="67"/>
      <c r="R93" s="6"/>
      <c r="S93" s="6" t="s">
        <v>213</v>
      </c>
      <c r="T93" s="6"/>
      <c r="U93" s="6"/>
      <c r="V93" s="6"/>
      <c r="W93" s="58"/>
    </row>
    <row r="94" spans="16:23" ht="12.75">
      <c r="P94" s="59"/>
      <c r="Q94" s="67"/>
      <c r="R94" s="6"/>
      <c r="S94" s="6" t="s">
        <v>214</v>
      </c>
      <c r="T94" s="6"/>
      <c r="U94" s="6"/>
      <c r="V94" s="6"/>
      <c r="W94" s="58"/>
    </row>
    <row r="95" spans="16:23" ht="12.75">
      <c r="P95" s="59"/>
      <c r="Q95" s="67"/>
      <c r="R95" s="6"/>
      <c r="S95" s="6" t="s">
        <v>215</v>
      </c>
      <c r="T95" s="6"/>
      <c r="U95" s="6"/>
      <c r="V95" s="6"/>
      <c r="W95" s="58"/>
    </row>
    <row r="96" spans="16:23" ht="12.75">
      <c r="P96" s="59"/>
      <c r="Q96" s="67"/>
      <c r="R96" s="6"/>
      <c r="S96" s="6" t="s">
        <v>216</v>
      </c>
      <c r="T96" s="6"/>
      <c r="U96" s="6"/>
      <c r="V96" s="6"/>
      <c r="W96" s="58"/>
    </row>
    <row r="97" spans="16:23" ht="12.75">
      <c r="P97" s="59"/>
      <c r="Q97" s="67"/>
      <c r="R97" s="6"/>
      <c r="S97" s="6" t="s">
        <v>217</v>
      </c>
      <c r="T97" s="6"/>
      <c r="U97" s="6"/>
      <c r="V97" s="6"/>
      <c r="W97" s="58"/>
    </row>
    <row r="98" spans="16:23" ht="12.75">
      <c r="P98" s="59"/>
      <c r="Q98" s="67"/>
      <c r="R98" s="6"/>
      <c r="S98" s="6" t="s">
        <v>218</v>
      </c>
      <c r="T98" s="6"/>
      <c r="U98" s="6"/>
      <c r="V98" s="6"/>
      <c r="W98" s="58"/>
    </row>
    <row r="99" spans="16:23" ht="12.75">
      <c r="P99" s="59"/>
      <c r="Q99" s="67"/>
      <c r="R99" s="6"/>
      <c r="S99" s="6" t="s">
        <v>219</v>
      </c>
      <c r="T99" s="6"/>
      <c r="U99" s="6"/>
      <c r="V99" s="6"/>
      <c r="W99" s="58"/>
    </row>
    <row r="100" spans="16:23" ht="12.75">
      <c r="P100" s="59"/>
      <c r="Q100" s="67"/>
      <c r="R100" s="6"/>
      <c r="S100" s="6" t="s">
        <v>220</v>
      </c>
      <c r="T100" s="6"/>
      <c r="U100" s="6"/>
      <c r="V100" s="6"/>
      <c r="W100" s="58"/>
    </row>
    <row r="101" spans="16:23" ht="12.75">
      <c r="P101" s="59"/>
      <c r="Q101" s="67"/>
      <c r="R101" s="6"/>
      <c r="S101" s="6" t="s">
        <v>221</v>
      </c>
      <c r="T101" s="6"/>
      <c r="U101" s="6"/>
      <c r="V101" s="6"/>
      <c r="W101" s="58"/>
    </row>
    <row r="102" spans="16:23" ht="12.75">
      <c r="P102" s="59"/>
      <c r="Q102" s="67"/>
      <c r="R102" s="6"/>
      <c r="S102" s="6" t="s">
        <v>222</v>
      </c>
      <c r="T102" s="6"/>
      <c r="U102" s="6"/>
      <c r="V102" s="6"/>
      <c r="W102" s="58"/>
    </row>
    <row r="103" spans="16:23" ht="12.75">
      <c r="P103" s="59"/>
      <c r="Q103" s="67"/>
      <c r="R103" s="6"/>
      <c r="S103" s="6" t="s">
        <v>223</v>
      </c>
      <c r="T103" s="6"/>
      <c r="U103" s="6"/>
      <c r="V103" s="6"/>
      <c r="W103" s="58"/>
    </row>
    <row r="104" spans="16:23" ht="12.75">
      <c r="P104" s="59"/>
      <c r="Q104" s="67"/>
      <c r="R104" s="6"/>
      <c r="S104" s="6" t="s">
        <v>224</v>
      </c>
      <c r="T104" s="6"/>
      <c r="U104" s="6"/>
      <c r="V104" s="6"/>
      <c r="W104" s="58"/>
    </row>
    <row r="105" spans="16:23" ht="12.75">
      <c r="P105" s="59"/>
      <c r="Q105" s="67"/>
      <c r="R105" s="6"/>
      <c r="S105" s="6" t="s">
        <v>225</v>
      </c>
      <c r="T105" s="6"/>
      <c r="U105" s="6"/>
      <c r="V105" s="6"/>
      <c r="W105" s="58"/>
    </row>
    <row r="106" spans="16:23" ht="12.75">
      <c r="P106" s="59"/>
      <c r="Q106" s="67"/>
      <c r="R106" s="6"/>
      <c r="S106" s="6" t="s">
        <v>226</v>
      </c>
      <c r="T106" s="6"/>
      <c r="U106" s="6"/>
      <c r="V106" s="6"/>
      <c r="W106" s="58"/>
    </row>
    <row r="107" spans="16:23" ht="12.75">
      <c r="P107" s="59"/>
      <c r="Q107" s="67"/>
      <c r="R107" s="6"/>
      <c r="S107" s="6" t="s">
        <v>227</v>
      </c>
      <c r="T107" s="6"/>
      <c r="U107" s="6"/>
      <c r="V107" s="6"/>
      <c r="W107" s="58"/>
    </row>
    <row r="108" spans="16:23" ht="12.75">
      <c r="P108" s="59"/>
      <c r="Q108" s="67"/>
      <c r="R108" s="6"/>
      <c r="S108" s="6" t="s">
        <v>228</v>
      </c>
      <c r="T108" s="6"/>
      <c r="U108" s="6"/>
      <c r="V108" s="6"/>
      <c r="W108" s="58"/>
    </row>
    <row r="109" spans="16:23" ht="12.75">
      <c r="P109" s="59"/>
      <c r="Q109" s="67"/>
      <c r="R109" s="6"/>
      <c r="S109" s="6" t="s">
        <v>229</v>
      </c>
      <c r="T109" s="6"/>
      <c r="U109" s="6"/>
      <c r="V109" s="6"/>
      <c r="W109" s="58"/>
    </row>
    <row r="110" spans="7:23" ht="12.75">
      <c r="G110" s="371" t="s">
        <v>348</v>
      </c>
      <c r="H110" s="372" t="s">
        <v>345</v>
      </c>
      <c r="I110" s="373" t="s">
        <v>346</v>
      </c>
      <c r="J110" s="374"/>
      <c r="K110" s="372" t="s">
        <v>347</v>
      </c>
      <c r="P110" s="59"/>
      <c r="Q110" s="67"/>
      <c r="R110" s="6"/>
      <c r="S110" s="6" t="s">
        <v>230</v>
      </c>
      <c r="T110" s="6"/>
      <c r="U110" s="6"/>
      <c r="V110" s="6"/>
      <c r="W110" s="58"/>
    </row>
    <row r="111" spans="16:23" ht="12.75">
      <c r="P111" s="59"/>
      <c r="Q111" s="67"/>
      <c r="R111" s="6"/>
      <c r="S111" s="6" t="s">
        <v>231</v>
      </c>
      <c r="T111" s="6"/>
      <c r="U111" s="6"/>
      <c r="V111" s="6"/>
      <c r="W111" s="58"/>
    </row>
    <row r="112" spans="16:23" ht="12.75">
      <c r="P112" s="59"/>
      <c r="Q112" s="67"/>
      <c r="R112" s="6"/>
      <c r="S112" s="6" t="s">
        <v>232</v>
      </c>
      <c r="T112" s="6"/>
      <c r="U112" s="6"/>
      <c r="V112" s="6"/>
      <c r="W112" s="58"/>
    </row>
    <row r="113" spans="16:23" ht="12.75">
      <c r="P113" s="59"/>
      <c r="Q113" s="67"/>
      <c r="R113" s="6"/>
      <c r="S113" s="6" t="s">
        <v>233</v>
      </c>
      <c r="T113" s="6"/>
      <c r="U113" s="6"/>
      <c r="V113" s="6"/>
      <c r="W113" s="58"/>
    </row>
    <row r="114" spans="16:23" ht="12.75">
      <c r="P114" s="178"/>
      <c r="Q114" s="135"/>
      <c r="R114" s="137"/>
      <c r="S114" s="177" t="s">
        <v>234</v>
      </c>
      <c r="T114" s="137"/>
      <c r="U114" s="137"/>
      <c r="V114" s="137"/>
      <c r="W114" s="169"/>
    </row>
    <row r="116" spans="16:23" ht="12.75">
      <c r="P116" s="147"/>
      <c r="Q116" s="148" t="s">
        <v>3</v>
      </c>
      <c r="R116" s="138"/>
      <c r="S116" s="148" t="s">
        <v>4</v>
      </c>
      <c r="T116" s="138"/>
      <c r="U116" s="148" t="s">
        <v>5</v>
      </c>
      <c r="V116" s="138"/>
      <c r="W116" s="145"/>
    </row>
    <row r="117" spans="16:23" ht="12.75">
      <c r="P117" s="59"/>
      <c r="Q117" s="6"/>
      <c r="R117" s="6"/>
      <c r="S117" s="6"/>
      <c r="T117" s="6"/>
      <c r="U117" s="6"/>
      <c r="V117" s="6"/>
      <c r="W117" s="58"/>
    </row>
    <row r="118" spans="16:23" ht="12.75">
      <c r="P118" s="59"/>
      <c r="Q118" s="6"/>
      <c r="R118" s="6"/>
      <c r="S118" s="6"/>
      <c r="T118" s="6"/>
      <c r="U118" s="6"/>
      <c r="V118" s="6"/>
      <c r="W118" s="58"/>
    </row>
    <row r="119" spans="16:23" ht="12.75">
      <c r="P119" s="59"/>
      <c r="Q119" s="67"/>
      <c r="R119" s="6"/>
      <c r="S119" s="6"/>
      <c r="T119" s="6"/>
      <c r="U119" s="6"/>
      <c r="V119" s="6"/>
      <c r="W119" s="58"/>
    </row>
    <row r="120" spans="16:23" ht="12.75">
      <c r="P120" s="59"/>
      <c r="Q120" s="152" t="s">
        <v>144</v>
      </c>
      <c r="R120" s="6"/>
      <c r="S120" s="152" t="s">
        <v>145</v>
      </c>
      <c r="T120" s="6"/>
      <c r="U120" s="152" t="s">
        <v>146</v>
      </c>
      <c r="V120" s="6"/>
      <c r="W120" s="153" t="s">
        <v>235</v>
      </c>
    </row>
    <row r="121" spans="16:23" ht="12.75">
      <c r="P121" s="59"/>
      <c r="Q121" s="67" t="s">
        <v>153</v>
      </c>
      <c r="R121" s="6"/>
      <c r="S121" s="67"/>
      <c r="T121" s="6"/>
      <c r="U121" s="67" t="s">
        <v>153</v>
      </c>
      <c r="V121" s="6"/>
      <c r="W121" s="155" t="s">
        <v>154</v>
      </c>
    </row>
    <row r="122" spans="16:23" ht="12.75">
      <c r="P122" s="59"/>
      <c r="Q122" s="66" t="s">
        <v>159</v>
      </c>
      <c r="R122" s="6"/>
      <c r="S122" s="6"/>
      <c r="T122" s="6"/>
      <c r="U122" s="66" t="s">
        <v>160</v>
      </c>
      <c r="V122" s="6"/>
      <c r="W122" s="58"/>
    </row>
    <row r="123" spans="16:23" ht="12.75">
      <c r="P123" s="59"/>
      <c r="Q123" s="66" t="s">
        <v>163</v>
      </c>
      <c r="R123" s="6"/>
      <c r="S123" s="6"/>
      <c r="T123" s="6"/>
      <c r="U123" s="66" t="s">
        <v>164</v>
      </c>
      <c r="V123" s="6"/>
      <c r="W123" s="58"/>
    </row>
    <row r="124" spans="16:23" ht="12.75">
      <c r="P124" s="59"/>
      <c r="Q124" s="67" t="s">
        <v>43</v>
      </c>
      <c r="R124" s="6"/>
      <c r="S124" s="67" t="s">
        <v>43</v>
      </c>
      <c r="T124" s="6"/>
      <c r="U124" s="67" t="s">
        <v>43</v>
      </c>
      <c r="V124" s="6"/>
      <c r="W124" s="58"/>
    </row>
    <row r="125" spans="16:23" ht="12.75">
      <c r="P125" s="59"/>
      <c r="Q125" s="66" t="s">
        <v>167</v>
      </c>
      <c r="R125" s="6"/>
      <c r="S125" s="6" t="s">
        <v>168</v>
      </c>
      <c r="T125" s="6"/>
      <c r="U125" s="6" t="s">
        <v>169</v>
      </c>
      <c r="V125" s="6"/>
      <c r="W125" s="58"/>
    </row>
    <row r="126" spans="16:23" ht="12.75">
      <c r="P126" s="59"/>
      <c r="Q126" s="163" t="s">
        <v>236</v>
      </c>
      <c r="R126" s="6"/>
      <c r="S126" s="6" t="s">
        <v>174</v>
      </c>
      <c r="T126" s="6"/>
      <c r="U126" s="6" t="s">
        <v>175</v>
      </c>
      <c r="V126" s="6"/>
      <c r="W126" s="58"/>
    </row>
    <row r="127" spans="16:23" ht="12.75">
      <c r="P127" s="59"/>
      <c r="Q127" s="67"/>
      <c r="R127" s="6"/>
      <c r="S127" s="6" t="s">
        <v>179</v>
      </c>
      <c r="T127" s="6"/>
      <c r="U127" s="6" t="s">
        <v>180</v>
      </c>
      <c r="V127" s="6"/>
      <c r="W127" s="58"/>
    </row>
    <row r="128" spans="16:23" ht="12.75">
      <c r="P128" s="59"/>
      <c r="Q128" s="67"/>
      <c r="R128" s="6"/>
      <c r="S128" s="6" t="s">
        <v>182</v>
      </c>
      <c r="T128" s="6"/>
      <c r="U128" s="6" t="s">
        <v>183</v>
      </c>
      <c r="V128" s="6"/>
      <c r="W128" s="58"/>
    </row>
    <row r="129" spans="16:23" ht="12.75">
      <c r="P129" s="59"/>
      <c r="Q129" s="67"/>
      <c r="R129" s="6"/>
      <c r="S129" s="6" t="s">
        <v>185</v>
      </c>
      <c r="T129" s="6"/>
      <c r="U129" s="6" t="s">
        <v>186</v>
      </c>
      <c r="V129" s="6"/>
      <c r="W129" s="58"/>
    </row>
    <row r="130" spans="16:23" ht="12.75">
      <c r="P130" s="59"/>
      <c r="Q130" s="67"/>
      <c r="R130" s="6"/>
      <c r="S130" s="6" t="s">
        <v>190</v>
      </c>
      <c r="T130" s="6"/>
      <c r="U130" s="177" t="s">
        <v>237</v>
      </c>
      <c r="V130" s="6"/>
      <c r="W130" s="58"/>
    </row>
    <row r="131" spans="16:23" ht="12.75">
      <c r="P131" s="59"/>
      <c r="Q131" s="67"/>
      <c r="R131" s="6"/>
      <c r="S131" s="6" t="s">
        <v>195</v>
      </c>
      <c r="T131" s="6"/>
      <c r="U131" s="6"/>
      <c r="V131" s="6"/>
      <c r="W131" s="58"/>
    </row>
    <row r="132" spans="16:23" ht="12.75">
      <c r="P132" s="59"/>
      <c r="Q132" s="67"/>
      <c r="R132" s="6"/>
      <c r="S132" s="6" t="s">
        <v>197</v>
      </c>
      <c r="T132" s="6"/>
      <c r="U132" s="6"/>
      <c r="V132" s="6"/>
      <c r="W132" s="58"/>
    </row>
    <row r="133" spans="16:23" ht="12.75">
      <c r="P133" s="59"/>
      <c r="Q133" s="67"/>
      <c r="R133" s="6"/>
      <c r="S133" s="6" t="s">
        <v>199</v>
      </c>
      <c r="T133" s="6"/>
      <c r="U133" s="6"/>
      <c r="V133" s="6"/>
      <c r="W133" s="58"/>
    </row>
    <row r="134" spans="16:23" ht="12.75">
      <c r="P134" s="59"/>
      <c r="Q134" s="67"/>
      <c r="R134" s="6"/>
      <c r="S134" s="6" t="s">
        <v>202</v>
      </c>
      <c r="T134" s="6"/>
      <c r="U134" s="179"/>
      <c r="V134" s="6"/>
      <c r="W134" s="58"/>
    </row>
    <row r="135" spans="16:23" ht="12.75">
      <c r="P135" s="59"/>
      <c r="Q135" s="67"/>
      <c r="R135" s="6"/>
      <c r="S135" s="6" t="s">
        <v>205</v>
      </c>
      <c r="T135" s="6"/>
      <c r="U135" s="6"/>
      <c r="V135" s="6"/>
      <c r="W135" s="58"/>
    </row>
    <row r="136" spans="16:23" ht="12.75">
      <c r="P136" s="59"/>
      <c r="Q136" s="67"/>
      <c r="R136" s="6"/>
      <c r="S136" s="6" t="s">
        <v>206</v>
      </c>
      <c r="T136" s="6"/>
      <c r="U136" s="6"/>
      <c r="V136" s="6"/>
      <c r="W136" s="58"/>
    </row>
    <row r="137" spans="16:23" ht="12.75">
      <c r="P137" s="59"/>
      <c r="Q137" s="67"/>
      <c r="R137" s="6"/>
      <c r="S137" s="6" t="s">
        <v>207</v>
      </c>
      <c r="T137" s="6"/>
      <c r="U137" s="6"/>
      <c r="V137" s="6"/>
      <c r="W137" s="58"/>
    </row>
    <row r="138" spans="16:23" ht="12.75">
      <c r="P138" s="59"/>
      <c r="Q138" s="67"/>
      <c r="R138" s="6"/>
      <c r="S138" s="6" t="s">
        <v>208</v>
      </c>
      <c r="T138" s="6"/>
      <c r="U138" s="6"/>
      <c r="V138" s="6"/>
      <c r="W138" s="58"/>
    </row>
    <row r="139" spans="16:23" ht="12.75">
      <c r="P139" s="59"/>
      <c r="Q139" s="67"/>
      <c r="R139" s="6"/>
      <c r="S139" s="6" t="s">
        <v>209</v>
      </c>
      <c r="T139" s="6"/>
      <c r="U139" s="6"/>
      <c r="V139" s="6"/>
      <c r="W139" s="58"/>
    </row>
    <row r="140" spans="16:23" ht="12.75">
      <c r="P140" s="180"/>
      <c r="Q140" s="181"/>
      <c r="R140" s="61"/>
      <c r="S140" s="177" t="s">
        <v>210</v>
      </c>
      <c r="T140" s="61"/>
      <c r="U140" s="61"/>
      <c r="V140" s="61"/>
      <c r="W140" s="62"/>
    </row>
    <row r="141" spans="16:23" ht="12.75">
      <c r="P141" s="6"/>
      <c r="Q141" s="67"/>
      <c r="R141" s="6"/>
      <c r="S141" s="6"/>
      <c r="T141" s="6"/>
      <c r="U141" s="6"/>
      <c r="V141" s="6"/>
      <c r="W141" s="6"/>
    </row>
    <row r="142" spans="16:23" ht="12.75">
      <c r="P142" s="6"/>
      <c r="Q142" s="67"/>
      <c r="R142" s="6"/>
      <c r="S142" s="6"/>
      <c r="T142" s="6"/>
      <c r="U142" s="6"/>
      <c r="V142" s="6"/>
      <c r="W142" s="6"/>
    </row>
    <row r="143" spans="16:23" ht="12.75">
      <c r="P143" s="6"/>
      <c r="Q143" s="67"/>
      <c r="R143" s="6"/>
      <c r="S143" s="6"/>
      <c r="T143" s="6"/>
      <c r="U143" s="6"/>
      <c r="V143" s="6"/>
      <c r="W143" s="6"/>
    </row>
    <row r="144" spans="16:23" ht="12.75">
      <c r="P144" s="6"/>
      <c r="Q144" s="67"/>
      <c r="R144" s="6"/>
      <c r="S144" s="6"/>
      <c r="T144" s="6"/>
      <c r="U144" s="6"/>
      <c r="V144" s="6"/>
      <c r="W144" s="6"/>
    </row>
    <row r="145" spans="16:23" ht="12.75">
      <c r="P145" s="6"/>
      <c r="Q145" s="67"/>
      <c r="R145" s="6"/>
      <c r="S145" s="6"/>
      <c r="T145" s="6"/>
      <c r="U145" s="6"/>
      <c r="V145" s="6"/>
      <c r="W145" s="6"/>
    </row>
    <row r="146" spans="16:23" ht="12.75">
      <c r="P146" s="6"/>
      <c r="Q146" s="67"/>
      <c r="R146" s="6"/>
      <c r="S146" s="6"/>
      <c r="T146" s="6"/>
      <c r="U146" s="6"/>
      <c r="V146" s="6"/>
      <c r="W146" s="6"/>
    </row>
    <row r="147" spans="16:23" ht="12.75">
      <c r="P147" s="6"/>
      <c r="Q147" s="67"/>
      <c r="R147" s="6"/>
      <c r="S147" s="6"/>
      <c r="T147" s="6"/>
      <c r="U147" s="6"/>
      <c r="V147" s="6"/>
      <c r="W147" s="6"/>
    </row>
    <row r="148" spans="16:23" ht="12.75">
      <c r="P148" s="6"/>
      <c r="Q148" s="67"/>
      <c r="R148" s="6"/>
      <c r="S148" s="6"/>
      <c r="T148" s="6"/>
      <c r="U148" s="6"/>
      <c r="V148" s="6"/>
      <c r="W148" s="6"/>
    </row>
    <row r="149" spans="16:23" ht="12.75">
      <c r="P149" s="6"/>
      <c r="Q149" s="67"/>
      <c r="R149" s="6"/>
      <c r="S149" s="6"/>
      <c r="T149" s="6"/>
      <c r="U149" s="6"/>
      <c r="V149" s="6"/>
      <c r="W149" s="6"/>
    </row>
    <row r="150" spans="16:23" ht="12.75">
      <c r="P150" s="6"/>
      <c r="Q150" s="67"/>
      <c r="R150" s="6"/>
      <c r="S150" s="6"/>
      <c r="T150" s="6"/>
      <c r="U150" s="6"/>
      <c r="V150" s="6"/>
      <c r="W150" s="6"/>
    </row>
    <row r="151" spans="16:23" ht="12.75">
      <c r="P151" s="6"/>
      <c r="Q151" s="67"/>
      <c r="R151" s="6"/>
      <c r="S151" s="6"/>
      <c r="T151" s="6"/>
      <c r="U151" s="6"/>
      <c r="V151" s="6"/>
      <c r="W151" s="6"/>
    </row>
    <row r="152" spans="16:23" ht="12.75">
      <c r="P152" s="6"/>
      <c r="Q152" s="67"/>
      <c r="R152" s="6"/>
      <c r="S152" s="6"/>
      <c r="T152" s="6"/>
      <c r="U152" s="6"/>
      <c r="V152" s="6"/>
      <c r="W152" s="6"/>
    </row>
    <row r="153" spans="16:23" ht="12.75">
      <c r="P153" s="6"/>
      <c r="Q153" s="67"/>
      <c r="R153" s="6"/>
      <c r="S153" s="6"/>
      <c r="T153" s="6"/>
      <c r="U153" s="6"/>
      <c r="V153" s="6"/>
      <c r="W153" s="6"/>
    </row>
    <row r="154" spans="16:23" ht="12.75">
      <c r="P154" s="6"/>
      <c r="Q154" s="67"/>
      <c r="R154" s="6"/>
      <c r="S154" s="6"/>
      <c r="T154" s="6"/>
      <c r="U154" s="6"/>
      <c r="V154" s="6"/>
      <c r="W154" s="6"/>
    </row>
    <row r="155" spans="16:23" ht="12.75">
      <c r="P155" s="6"/>
      <c r="Q155" s="67"/>
      <c r="R155" s="6"/>
      <c r="S155" s="6"/>
      <c r="T155" s="6"/>
      <c r="U155" s="6"/>
      <c r="V155" s="6"/>
      <c r="W155" s="6"/>
    </row>
    <row r="156" spans="16:23" ht="12.75">
      <c r="P156" s="6"/>
      <c r="Q156" s="67"/>
      <c r="R156" s="6"/>
      <c r="S156" s="6"/>
      <c r="T156" s="6"/>
      <c r="U156" s="6"/>
      <c r="V156" s="6"/>
      <c r="W156" s="6"/>
    </row>
    <row r="157" spans="16:23" ht="12.75">
      <c r="P157" s="6"/>
      <c r="Q157" s="67"/>
      <c r="R157" s="6"/>
      <c r="S157" s="6"/>
      <c r="T157" s="6"/>
      <c r="U157" s="6"/>
      <c r="V157" s="6"/>
      <c r="W157" s="6"/>
    </row>
    <row r="158" spans="16:23" ht="12.75">
      <c r="P158" s="6"/>
      <c r="Q158" s="67"/>
      <c r="R158" s="6"/>
      <c r="S158" s="6"/>
      <c r="T158" s="6"/>
      <c r="U158" s="6"/>
      <c r="V158" s="6"/>
      <c r="W158" s="6"/>
    </row>
    <row r="159" spans="16:23" ht="12.75">
      <c r="P159" s="6"/>
      <c r="Q159" s="67"/>
      <c r="R159" s="6"/>
      <c r="S159" s="6"/>
      <c r="T159" s="6"/>
      <c r="U159" s="6"/>
      <c r="V159" s="6"/>
      <c r="W159" s="6"/>
    </row>
    <row r="160" spans="16:23" ht="12.75">
      <c r="P160" s="6"/>
      <c r="Q160" s="67"/>
      <c r="R160" s="6"/>
      <c r="S160" s="6"/>
      <c r="T160" s="6"/>
      <c r="U160" s="6"/>
      <c r="V160" s="6"/>
      <c r="W160" s="6"/>
    </row>
    <row r="161" spans="16:23" ht="12.75">
      <c r="P161" s="6"/>
      <c r="Q161" s="67"/>
      <c r="R161" s="6"/>
      <c r="S161" s="6"/>
      <c r="T161" s="6"/>
      <c r="U161" s="6"/>
      <c r="V161" s="6"/>
      <c r="W161" s="6"/>
    </row>
    <row r="162" spans="16:23" ht="12.75">
      <c r="P162" s="6"/>
      <c r="Q162" s="67"/>
      <c r="R162" s="6"/>
      <c r="S162" s="6"/>
      <c r="T162" s="6"/>
      <c r="U162" s="6"/>
      <c r="V162" s="6"/>
      <c r="W162" s="6"/>
    </row>
    <row r="163" spans="16:23" ht="12.75">
      <c r="P163" s="6"/>
      <c r="Q163" s="67"/>
      <c r="R163" s="6"/>
      <c r="S163" s="6"/>
      <c r="T163" s="6"/>
      <c r="U163" s="6"/>
      <c r="V163" s="6"/>
      <c r="W163" s="6"/>
    </row>
    <row r="164" spans="16:23" ht="12.75">
      <c r="P164" s="6"/>
      <c r="Q164" s="67"/>
      <c r="R164" s="6"/>
      <c r="S164" s="179"/>
      <c r="T164" s="6"/>
      <c r="U164" s="6"/>
      <c r="V164" s="6"/>
      <c r="W164" s="6"/>
    </row>
  </sheetData>
  <sheetProtection selectLockedCells="1" selectUnlockedCells="1"/>
  <mergeCells count="373">
    <mergeCell ref="J3:J4"/>
    <mergeCell ref="L3:L4"/>
    <mergeCell ref="N3:N4"/>
    <mergeCell ref="P3:P4"/>
    <mergeCell ref="B3:B4"/>
    <mergeCell ref="D3:D4"/>
    <mergeCell ref="F3:F4"/>
    <mergeCell ref="H3:H4"/>
    <mergeCell ref="R3:R4"/>
    <mergeCell ref="T3:T4"/>
    <mergeCell ref="V5:V6"/>
    <mergeCell ref="X5:X6"/>
    <mergeCell ref="R5:R6"/>
    <mergeCell ref="T5:T6"/>
    <mergeCell ref="V3:V4"/>
    <mergeCell ref="X3:X4"/>
    <mergeCell ref="B5:B6"/>
    <mergeCell ref="D5:D6"/>
    <mergeCell ref="F5:F6"/>
    <mergeCell ref="H5:H6"/>
    <mergeCell ref="J5:J6"/>
    <mergeCell ref="L5:L6"/>
    <mergeCell ref="N5:N6"/>
    <mergeCell ref="P5:P6"/>
    <mergeCell ref="J7:J8"/>
    <mergeCell ref="L7:L8"/>
    <mergeCell ref="N7:N8"/>
    <mergeCell ref="P7:P8"/>
    <mergeCell ref="B7:B8"/>
    <mergeCell ref="D7:D8"/>
    <mergeCell ref="F7:F8"/>
    <mergeCell ref="H7:H8"/>
    <mergeCell ref="R7:R8"/>
    <mergeCell ref="T7:T8"/>
    <mergeCell ref="V9:V10"/>
    <mergeCell ref="X9:X10"/>
    <mergeCell ref="R9:R10"/>
    <mergeCell ref="T9:T10"/>
    <mergeCell ref="V7:V8"/>
    <mergeCell ref="X7:X8"/>
    <mergeCell ref="B9:B10"/>
    <mergeCell ref="D9:D10"/>
    <mergeCell ref="F9:F10"/>
    <mergeCell ref="H9:H10"/>
    <mergeCell ref="J9:J10"/>
    <mergeCell ref="L9:L10"/>
    <mergeCell ref="N9:N10"/>
    <mergeCell ref="P9:P10"/>
    <mergeCell ref="J11:J12"/>
    <mergeCell ref="L11:L12"/>
    <mergeCell ref="N11:N12"/>
    <mergeCell ref="P11:P12"/>
    <mergeCell ref="B11:B12"/>
    <mergeCell ref="D11:D12"/>
    <mergeCell ref="F11:F12"/>
    <mergeCell ref="H11:H12"/>
    <mergeCell ref="R11:R12"/>
    <mergeCell ref="T11:T12"/>
    <mergeCell ref="V13:V14"/>
    <mergeCell ref="X13:X14"/>
    <mergeCell ref="R13:R14"/>
    <mergeCell ref="T13:T14"/>
    <mergeCell ref="V11:V12"/>
    <mergeCell ref="X11:X12"/>
    <mergeCell ref="B13:B14"/>
    <mergeCell ref="D13:D14"/>
    <mergeCell ref="F13:F14"/>
    <mergeCell ref="H13:H14"/>
    <mergeCell ref="J13:J14"/>
    <mergeCell ref="L13:L14"/>
    <mergeCell ref="N13:N14"/>
    <mergeCell ref="P13:P14"/>
    <mergeCell ref="J15:J16"/>
    <mergeCell ref="L15:L16"/>
    <mergeCell ref="N15:N16"/>
    <mergeCell ref="P15:P16"/>
    <mergeCell ref="B15:B16"/>
    <mergeCell ref="D15:D16"/>
    <mergeCell ref="F15:F16"/>
    <mergeCell ref="H15:H16"/>
    <mergeCell ref="R15:R16"/>
    <mergeCell ref="T15:T16"/>
    <mergeCell ref="V17:V18"/>
    <mergeCell ref="X17:X18"/>
    <mergeCell ref="R17:R18"/>
    <mergeCell ref="T17:T18"/>
    <mergeCell ref="V15:V16"/>
    <mergeCell ref="X15:X16"/>
    <mergeCell ref="B17:B18"/>
    <mergeCell ref="D17:D18"/>
    <mergeCell ref="F17:F18"/>
    <mergeCell ref="H17:H18"/>
    <mergeCell ref="J17:J18"/>
    <mergeCell ref="L17:L18"/>
    <mergeCell ref="N17:N18"/>
    <mergeCell ref="P17:P18"/>
    <mergeCell ref="J19:J20"/>
    <mergeCell ref="L19:L20"/>
    <mergeCell ref="N19:N20"/>
    <mergeCell ref="P19:P20"/>
    <mergeCell ref="B19:B20"/>
    <mergeCell ref="D19:D20"/>
    <mergeCell ref="F19:F20"/>
    <mergeCell ref="H19:H20"/>
    <mergeCell ref="R19:R20"/>
    <mergeCell ref="T19:T20"/>
    <mergeCell ref="V21:V22"/>
    <mergeCell ref="X21:X22"/>
    <mergeCell ref="R21:R22"/>
    <mergeCell ref="T21:T22"/>
    <mergeCell ref="V19:V20"/>
    <mergeCell ref="X19:X20"/>
    <mergeCell ref="B21:B22"/>
    <mergeCell ref="D21:D22"/>
    <mergeCell ref="F21:F22"/>
    <mergeCell ref="H21:H22"/>
    <mergeCell ref="J21:J22"/>
    <mergeCell ref="L21:L22"/>
    <mergeCell ref="N21:N22"/>
    <mergeCell ref="P21:P22"/>
    <mergeCell ref="J23:J24"/>
    <mergeCell ref="L23:L24"/>
    <mergeCell ref="N23:N24"/>
    <mergeCell ref="P23:P24"/>
    <mergeCell ref="B23:B24"/>
    <mergeCell ref="D23:D24"/>
    <mergeCell ref="F23:F24"/>
    <mergeCell ref="H23:H24"/>
    <mergeCell ref="R23:R24"/>
    <mergeCell ref="T23:T24"/>
    <mergeCell ref="V25:V26"/>
    <mergeCell ref="X25:X26"/>
    <mergeCell ref="R25:R26"/>
    <mergeCell ref="T25:T26"/>
    <mergeCell ref="V23:V24"/>
    <mergeCell ref="X23:X24"/>
    <mergeCell ref="B25:B26"/>
    <mergeCell ref="D25:D26"/>
    <mergeCell ref="F25:F26"/>
    <mergeCell ref="H25:H26"/>
    <mergeCell ref="J25:J26"/>
    <mergeCell ref="L25:L26"/>
    <mergeCell ref="N25:N26"/>
    <mergeCell ref="P25:P26"/>
    <mergeCell ref="J27:J28"/>
    <mergeCell ref="L27:L28"/>
    <mergeCell ref="N27:N28"/>
    <mergeCell ref="P27:P28"/>
    <mergeCell ref="B27:B28"/>
    <mergeCell ref="D27:D28"/>
    <mergeCell ref="F27:F28"/>
    <mergeCell ref="H27:H28"/>
    <mergeCell ref="R27:R28"/>
    <mergeCell ref="T27:T28"/>
    <mergeCell ref="V29:V30"/>
    <mergeCell ref="X29:X30"/>
    <mergeCell ref="R29:R30"/>
    <mergeCell ref="T29:T30"/>
    <mergeCell ref="V27:V28"/>
    <mergeCell ref="X27:X28"/>
    <mergeCell ref="B29:B30"/>
    <mergeCell ref="D29:D30"/>
    <mergeCell ref="F29:F30"/>
    <mergeCell ref="H29:H30"/>
    <mergeCell ref="J29:J30"/>
    <mergeCell ref="L29:L30"/>
    <mergeCell ref="N29:N30"/>
    <mergeCell ref="P29:P30"/>
    <mergeCell ref="J31:J32"/>
    <mergeCell ref="L31:L32"/>
    <mergeCell ref="N31:N32"/>
    <mergeCell ref="P31:P32"/>
    <mergeCell ref="B31:B32"/>
    <mergeCell ref="D31:D32"/>
    <mergeCell ref="F31:F32"/>
    <mergeCell ref="H31:H32"/>
    <mergeCell ref="R31:R32"/>
    <mergeCell ref="T31:T32"/>
    <mergeCell ref="V33:V34"/>
    <mergeCell ref="X33:X34"/>
    <mergeCell ref="R33:R34"/>
    <mergeCell ref="T33:T34"/>
    <mergeCell ref="V31:V32"/>
    <mergeCell ref="X31:X32"/>
    <mergeCell ref="B33:B34"/>
    <mergeCell ref="D33:D34"/>
    <mergeCell ref="F33:F34"/>
    <mergeCell ref="H33:H34"/>
    <mergeCell ref="J33:J34"/>
    <mergeCell ref="L33:L34"/>
    <mergeCell ref="N33:N34"/>
    <mergeCell ref="P33:P34"/>
    <mergeCell ref="J35:J36"/>
    <mergeCell ref="L35:L36"/>
    <mergeCell ref="N35:N36"/>
    <mergeCell ref="P35:P36"/>
    <mergeCell ref="B35:B36"/>
    <mergeCell ref="D35:D36"/>
    <mergeCell ref="F35:F36"/>
    <mergeCell ref="H35:H36"/>
    <mergeCell ref="R35:R36"/>
    <mergeCell ref="T35:T36"/>
    <mergeCell ref="V37:V38"/>
    <mergeCell ref="X37:X38"/>
    <mergeCell ref="R37:R38"/>
    <mergeCell ref="T37:T38"/>
    <mergeCell ref="V35:V36"/>
    <mergeCell ref="X35:X36"/>
    <mergeCell ref="B37:B38"/>
    <mergeCell ref="D37:D38"/>
    <mergeCell ref="F37:F38"/>
    <mergeCell ref="H37:H38"/>
    <mergeCell ref="J37:J38"/>
    <mergeCell ref="L37:L38"/>
    <mergeCell ref="N37:N38"/>
    <mergeCell ref="P37:P38"/>
    <mergeCell ref="J39:J40"/>
    <mergeCell ref="L39:L40"/>
    <mergeCell ref="N39:N40"/>
    <mergeCell ref="P39:P40"/>
    <mergeCell ref="B39:B40"/>
    <mergeCell ref="D39:D40"/>
    <mergeCell ref="F39:F40"/>
    <mergeCell ref="H39:H40"/>
    <mergeCell ref="R39:R40"/>
    <mergeCell ref="T39:T40"/>
    <mergeCell ref="V41:V42"/>
    <mergeCell ref="X41:X42"/>
    <mergeCell ref="R41:R42"/>
    <mergeCell ref="T41:T42"/>
    <mergeCell ref="V39:V40"/>
    <mergeCell ref="X39:X40"/>
    <mergeCell ref="B41:B42"/>
    <mergeCell ref="D41:D42"/>
    <mergeCell ref="F41:F42"/>
    <mergeCell ref="H41:H42"/>
    <mergeCell ref="J41:J42"/>
    <mergeCell ref="L41:L42"/>
    <mergeCell ref="N41:N42"/>
    <mergeCell ref="P41:P42"/>
    <mergeCell ref="J43:J44"/>
    <mergeCell ref="L43:L44"/>
    <mergeCell ref="N43:N44"/>
    <mergeCell ref="P43:P44"/>
    <mergeCell ref="B43:B44"/>
    <mergeCell ref="D43:D44"/>
    <mergeCell ref="F43:F44"/>
    <mergeCell ref="H43:H44"/>
    <mergeCell ref="R43:R44"/>
    <mergeCell ref="T43:T44"/>
    <mergeCell ref="V45:V46"/>
    <mergeCell ref="X45:X46"/>
    <mergeCell ref="R45:R46"/>
    <mergeCell ref="T45:T46"/>
    <mergeCell ref="V43:V44"/>
    <mergeCell ref="X43:X44"/>
    <mergeCell ref="B45:B46"/>
    <mergeCell ref="D45:D46"/>
    <mergeCell ref="F45:F46"/>
    <mergeCell ref="H45:H46"/>
    <mergeCell ref="J45:J46"/>
    <mergeCell ref="L45:L46"/>
    <mergeCell ref="N45:N46"/>
    <mergeCell ref="P45:P46"/>
    <mergeCell ref="J47:J48"/>
    <mergeCell ref="L47:L48"/>
    <mergeCell ref="N47:N48"/>
    <mergeCell ref="P47:P48"/>
    <mergeCell ref="B47:B48"/>
    <mergeCell ref="D47:D48"/>
    <mergeCell ref="F47:F48"/>
    <mergeCell ref="H47:H48"/>
    <mergeCell ref="R47:R48"/>
    <mergeCell ref="T47:T48"/>
    <mergeCell ref="V49:V50"/>
    <mergeCell ref="X49:X50"/>
    <mergeCell ref="R49:R50"/>
    <mergeCell ref="T49:T50"/>
    <mergeCell ref="V47:V48"/>
    <mergeCell ref="X47:X48"/>
    <mergeCell ref="B49:B50"/>
    <mergeCell ref="D49:D50"/>
    <mergeCell ref="F49:F50"/>
    <mergeCell ref="H49:H50"/>
    <mergeCell ref="J49:J50"/>
    <mergeCell ref="L49:L50"/>
    <mergeCell ref="N49:N50"/>
    <mergeCell ref="P49:P50"/>
    <mergeCell ref="J51:J52"/>
    <mergeCell ref="L51:L52"/>
    <mergeCell ref="N51:N52"/>
    <mergeCell ref="P51:P52"/>
    <mergeCell ref="B51:B52"/>
    <mergeCell ref="D51:D52"/>
    <mergeCell ref="F51:F52"/>
    <mergeCell ref="H51:H52"/>
    <mergeCell ref="R51:R52"/>
    <mergeCell ref="T51:T52"/>
    <mergeCell ref="V53:V54"/>
    <mergeCell ref="X53:X54"/>
    <mergeCell ref="R53:R54"/>
    <mergeCell ref="T53:T54"/>
    <mergeCell ref="V51:V52"/>
    <mergeCell ref="X51:X52"/>
    <mergeCell ref="B53:B54"/>
    <mergeCell ref="D53:D54"/>
    <mergeCell ref="F53:F54"/>
    <mergeCell ref="H53:H54"/>
    <mergeCell ref="J53:J54"/>
    <mergeCell ref="L53:L54"/>
    <mergeCell ref="N53:N54"/>
    <mergeCell ref="P53:P54"/>
    <mergeCell ref="J55:J56"/>
    <mergeCell ref="L55:L56"/>
    <mergeCell ref="N55:N56"/>
    <mergeCell ref="P55:P56"/>
    <mergeCell ref="B55:B56"/>
    <mergeCell ref="D55:D56"/>
    <mergeCell ref="F55:F56"/>
    <mergeCell ref="H55:H56"/>
    <mergeCell ref="R55:R56"/>
    <mergeCell ref="T55:T56"/>
    <mergeCell ref="V57:V58"/>
    <mergeCell ref="X57:X58"/>
    <mergeCell ref="R57:R58"/>
    <mergeCell ref="T57:T58"/>
    <mergeCell ref="V55:V56"/>
    <mergeCell ref="X55:X56"/>
    <mergeCell ref="B57:B58"/>
    <mergeCell ref="D57:D58"/>
    <mergeCell ref="F57:F58"/>
    <mergeCell ref="H57:H58"/>
    <mergeCell ref="J57:J58"/>
    <mergeCell ref="L57:L58"/>
    <mergeCell ref="N57:N58"/>
    <mergeCell ref="P57:P58"/>
    <mergeCell ref="J59:J60"/>
    <mergeCell ref="L59:L60"/>
    <mergeCell ref="N59:N60"/>
    <mergeCell ref="P59:P60"/>
    <mergeCell ref="B59:B60"/>
    <mergeCell ref="D59:D60"/>
    <mergeCell ref="F59:F60"/>
    <mergeCell ref="H59:H60"/>
    <mergeCell ref="R59:R60"/>
    <mergeCell ref="T59:T60"/>
    <mergeCell ref="V61:V62"/>
    <mergeCell ref="X61:X62"/>
    <mergeCell ref="R61:R62"/>
    <mergeCell ref="T61:T62"/>
    <mergeCell ref="V59:V60"/>
    <mergeCell ref="X59:X60"/>
    <mergeCell ref="B61:B62"/>
    <mergeCell ref="D61:D62"/>
    <mergeCell ref="F61:F62"/>
    <mergeCell ref="H61:H62"/>
    <mergeCell ref="J61:J62"/>
    <mergeCell ref="L61:L62"/>
    <mergeCell ref="N61:N62"/>
    <mergeCell ref="P61:P62"/>
    <mergeCell ref="V63:V64"/>
    <mergeCell ref="X63:X64"/>
    <mergeCell ref="B63:B64"/>
    <mergeCell ref="D63:D64"/>
    <mergeCell ref="F63:F64"/>
    <mergeCell ref="H63:H64"/>
    <mergeCell ref="J63:J64"/>
    <mergeCell ref="L63:L64"/>
    <mergeCell ref="P63:P64"/>
    <mergeCell ref="F71:F82"/>
    <mergeCell ref="N63:N64"/>
    <mergeCell ref="R63:R64"/>
    <mergeCell ref="T63:T64"/>
  </mergeCells>
  <conditionalFormatting sqref="B3:B62 D3:D64 F3 F5 F7 F9 F11 F13 F15 F17 F19 F21 F23 F25 F27 F29 F31 F33 F35 F37 F39 F41 F43 F45 F47 F49 F51 F53 F55 F57 F59 F61 F63:F64 H3:H60 J3:J64 L3:L64 N3:N64 P3:P62 R3:R64 T3:T64 V3:V62 X3:X64">
    <cfRule type="cellIs" priority="1" dxfId="3" operator="equal" stopIfTrue="1">
      <formula>1</formula>
    </cfRule>
    <cfRule type="cellIs" priority="2" dxfId="2" operator="equal" stopIfTrue="1">
      <formula>7</formula>
    </cfRule>
  </conditionalFormatting>
  <conditionalFormatting sqref="B63 H61:H64 P63:P64 V63">
    <cfRule type="cellIs" priority="3" dxfId="1" operator="equal" stopIfTrue="1">
      <formula>1</formula>
    </cfRule>
    <cfRule type="cellIs" priority="4" dxfId="0" operator="equal" stopIfTrue="1">
      <formula>7</formula>
    </cfRule>
  </conditionalFormatting>
  <hyperlinks>
    <hyperlink ref="K110" r:id="rId1" display="https://pushing-limits.de/trainingsplan/"/>
    <hyperlink ref="H110" r:id="rId2" display="https://pushing-limits.de/trainingsplan/"/>
    <hyperlink ref="I110" r:id="rId3" display="https://pushing-limits.de/trainingsplan/"/>
  </hyperlinks>
  <printOptions/>
  <pageMargins left="0.7875" right="0.7875" top="0.9840277777777777" bottom="0.9840277777777777" header="0.5118055555555555" footer="0.5118055555555555"/>
  <pageSetup horizontalDpi="300" verticalDpi="300" orientation="portrait" paperSize="9" r:id="rId7"/>
  <drawing r:id="rId6"/>
  <legacyDrawing r:id="rId5"/>
</worksheet>
</file>

<file path=xl/worksheets/sheet8.xml><?xml version="1.0" encoding="utf-8"?>
<worksheet xmlns="http://schemas.openxmlformats.org/spreadsheetml/2006/main" xmlns:r="http://schemas.openxmlformats.org/officeDocument/2006/relationships">
  <dimension ref="A1:AC372"/>
  <sheetViews>
    <sheetView workbookViewId="0" topLeftCell="A1">
      <selection activeCell="B4" sqref="B4"/>
    </sheetView>
  </sheetViews>
  <sheetFormatPr defaultColWidth="11.421875" defaultRowHeight="12.75"/>
  <cols>
    <col min="1" max="1" width="18.140625" style="186" customWidth="1"/>
    <col min="2" max="2" width="13.28125" style="186" customWidth="1"/>
    <col min="3" max="3" width="30.57421875" style="186" customWidth="1"/>
    <col min="4" max="4" width="11.421875" style="186" customWidth="1"/>
    <col min="5" max="10" width="2.57421875" style="186" customWidth="1"/>
    <col min="11" max="11" width="2.7109375" style="186" customWidth="1"/>
    <col min="12" max="13" width="2.57421875" style="186" customWidth="1"/>
    <col min="14" max="17" width="3.57421875" style="186" customWidth="1"/>
    <col min="18" max="18" width="3.8515625" style="186" customWidth="1"/>
    <col min="19" max="24" width="3.57421875" style="186" customWidth="1"/>
    <col min="25" max="25" width="3.8515625" style="186" customWidth="1"/>
    <col min="26" max="28" width="3.57421875" style="186" customWidth="1"/>
    <col min="29" max="16384" width="11.421875" style="186" customWidth="1"/>
  </cols>
  <sheetData>
    <row r="1" ht="12.75">
      <c r="A1" s="185" t="s">
        <v>339</v>
      </c>
    </row>
    <row r="2" spans="1:2" ht="12.75">
      <c r="A2" s="187"/>
      <c r="B2" s="364" t="s">
        <v>313</v>
      </c>
    </row>
    <row r="3" spans="1:4" ht="12.75">
      <c r="A3" s="188" t="s">
        <v>336</v>
      </c>
      <c r="B3" s="369">
        <v>44385</v>
      </c>
      <c r="D3" s="186" t="s">
        <v>311</v>
      </c>
    </row>
    <row r="4" spans="1:4" ht="12.75">
      <c r="A4" s="188" t="s">
        <v>337</v>
      </c>
      <c r="B4" s="367">
        <f ca="1">TODAY()+121</f>
        <v>44388</v>
      </c>
      <c r="C4" s="366" t="s">
        <v>338</v>
      </c>
      <c r="D4" s="186" t="s">
        <v>304</v>
      </c>
    </row>
    <row r="5" ht="12.75"/>
    <row r="6" spans="1:6" ht="12.75">
      <c r="A6" s="185" t="s">
        <v>305</v>
      </c>
      <c r="B6" s="189"/>
      <c r="C6" s="368">
        <v>23</v>
      </c>
      <c r="D6" s="190"/>
      <c r="E6" s="186" t="s">
        <v>306</v>
      </c>
      <c r="F6" s="190"/>
    </row>
    <row r="7" spans="1:6" ht="12.75">
      <c r="A7" s="191"/>
      <c r="B7" s="192"/>
      <c r="C7" s="368" t="s">
        <v>307</v>
      </c>
      <c r="D7" s="190"/>
      <c r="E7" s="190"/>
      <c r="F7" s="190"/>
    </row>
    <row r="8" spans="1:3" ht="12.75">
      <c r="A8" s="193">
        <f>B4</f>
        <v>44388</v>
      </c>
      <c r="B8" s="358">
        <f>A8-$B$3</f>
        <v>3</v>
      </c>
      <c r="C8" s="194">
        <f>SIN(2*PI()*(B8/$C$6))</f>
        <v>0.730835964278124</v>
      </c>
    </row>
    <row r="9" spans="1:3" ht="12.75">
      <c r="A9" s="193">
        <f>A8+1</f>
        <v>44389</v>
      </c>
      <c r="B9" s="358">
        <f aca="true" t="shared" si="0" ref="B9:B74">A9-$B$3</f>
        <v>4</v>
      </c>
      <c r="C9" s="194">
        <f aca="true" t="shared" si="1" ref="C9:C74">SIN(2*PI()*(B9/$C$6))</f>
        <v>0.8878852184023752</v>
      </c>
    </row>
    <row r="10" spans="1:3" ht="12.75">
      <c r="A10" s="193">
        <f aca="true" t="shared" si="2" ref="A10:A38">A9+1</f>
        <v>44390</v>
      </c>
      <c r="B10" s="358">
        <f t="shared" si="0"/>
        <v>5</v>
      </c>
      <c r="C10" s="194">
        <f t="shared" si="1"/>
        <v>0.9790840876823228</v>
      </c>
    </row>
    <row r="11" spans="1:3" ht="12.75">
      <c r="A11" s="193">
        <f t="shared" si="2"/>
        <v>44391</v>
      </c>
      <c r="B11" s="358">
        <f t="shared" si="0"/>
        <v>6</v>
      </c>
      <c r="C11" s="194">
        <f t="shared" si="1"/>
        <v>0.9976687691905392</v>
      </c>
    </row>
    <row r="12" spans="1:3" ht="12.75">
      <c r="A12" s="193">
        <f t="shared" si="2"/>
        <v>44392</v>
      </c>
      <c r="B12" s="358">
        <f t="shared" si="0"/>
        <v>7</v>
      </c>
      <c r="C12" s="194">
        <f t="shared" si="1"/>
        <v>0.9422609221188205</v>
      </c>
    </row>
    <row r="13" spans="1:3" ht="12.75">
      <c r="A13" s="193">
        <f t="shared" si="2"/>
        <v>44393</v>
      </c>
      <c r="B13" s="358">
        <f t="shared" si="0"/>
        <v>8</v>
      </c>
      <c r="C13" s="194">
        <f t="shared" si="1"/>
        <v>0.8169698930104421</v>
      </c>
    </row>
    <row r="14" spans="1:3" ht="12.75">
      <c r="A14" s="195">
        <f t="shared" si="2"/>
        <v>44394</v>
      </c>
      <c r="B14" s="358">
        <f t="shared" si="0"/>
        <v>9</v>
      </c>
      <c r="C14" s="196">
        <f t="shared" si="1"/>
        <v>0.6310879443260526</v>
      </c>
    </row>
    <row r="15" spans="1:3" ht="12.75">
      <c r="A15" s="193">
        <f t="shared" si="2"/>
        <v>44395</v>
      </c>
      <c r="B15" s="358">
        <f t="shared" si="0"/>
        <v>10</v>
      </c>
      <c r="C15" s="194">
        <f t="shared" si="1"/>
        <v>0.3984010898462418</v>
      </c>
    </row>
    <row r="16" spans="1:3" ht="13.5" thickBot="1">
      <c r="A16" s="193">
        <f t="shared" si="2"/>
        <v>44396</v>
      </c>
      <c r="B16" s="358">
        <f t="shared" si="0"/>
        <v>11</v>
      </c>
      <c r="C16" s="194">
        <f t="shared" si="1"/>
        <v>0.13616664909624665</v>
      </c>
    </row>
    <row r="17" spans="1:3" ht="13.5" thickBot="1">
      <c r="A17" s="197">
        <f t="shared" si="2"/>
        <v>44397</v>
      </c>
      <c r="B17" s="359">
        <f t="shared" si="0"/>
        <v>12</v>
      </c>
      <c r="C17" s="198">
        <f t="shared" si="1"/>
        <v>-0.1361666490962464</v>
      </c>
    </row>
    <row r="18" spans="1:3" ht="12.75">
      <c r="A18" s="193">
        <f t="shared" si="2"/>
        <v>44398</v>
      </c>
      <c r="B18" s="358">
        <f t="shared" si="0"/>
        <v>13</v>
      </c>
      <c r="C18" s="194">
        <f t="shared" si="1"/>
        <v>-0.3984010898462412</v>
      </c>
    </row>
    <row r="19" spans="1:3" ht="12.75">
      <c r="A19" s="193">
        <f t="shared" si="2"/>
        <v>44399</v>
      </c>
      <c r="B19" s="358">
        <f t="shared" si="0"/>
        <v>14</v>
      </c>
      <c r="C19" s="194">
        <f t="shared" si="1"/>
        <v>-0.6310879443260528</v>
      </c>
    </row>
    <row r="20" spans="1:3" ht="12.75">
      <c r="A20" s="193">
        <f t="shared" si="2"/>
        <v>44400</v>
      </c>
      <c r="B20" s="358">
        <f t="shared" si="0"/>
        <v>15</v>
      </c>
      <c r="C20" s="194">
        <f t="shared" si="1"/>
        <v>-0.816969893010442</v>
      </c>
    </row>
    <row r="21" spans="1:3" ht="12.75">
      <c r="A21" s="193">
        <f t="shared" si="2"/>
        <v>44401</v>
      </c>
      <c r="B21" s="358">
        <f t="shared" si="0"/>
        <v>16</v>
      </c>
      <c r="C21" s="194">
        <f t="shared" si="1"/>
        <v>-0.9422609221188204</v>
      </c>
    </row>
    <row r="22" spans="1:3" ht="12.75">
      <c r="A22" s="193">
        <f t="shared" si="2"/>
        <v>44402</v>
      </c>
      <c r="B22" s="358">
        <f t="shared" si="0"/>
        <v>17</v>
      </c>
      <c r="C22" s="194">
        <f t="shared" si="1"/>
        <v>-0.9976687691905392</v>
      </c>
    </row>
    <row r="23" spans="1:6" ht="12.75">
      <c r="A23" s="195">
        <f t="shared" si="2"/>
        <v>44403</v>
      </c>
      <c r="B23" s="358">
        <f t="shared" si="0"/>
        <v>18</v>
      </c>
      <c r="C23" s="196">
        <f t="shared" si="1"/>
        <v>-0.9790840876823228</v>
      </c>
      <c r="D23" s="199"/>
      <c r="E23" s="199"/>
      <c r="F23" s="199"/>
    </row>
    <row r="24" spans="1:3" ht="12.75">
      <c r="A24" s="193">
        <f t="shared" si="2"/>
        <v>44404</v>
      </c>
      <c r="B24" s="358">
        <f t="shared" si="0"/>
        <v>19</v>
      </c>
      <c r="C24" s="194">
        <f t="shared" si="1"/>
        <v>-0.8878852184023751</v>
      </c>
    </row>
    <row r="25" spans="1:3" ht="12.75">
      <c r="A25" s="193">
        <f t="shared" si="2"/>
        <v>44405</v>
      </c>
      <c r="B25" s="358">
        <f t="shared" si="0"/>
        <v>20</v>
      </c>
      <c r="C25" s="194">
        <f t="shared" si="1"/>
        <v>-0.7308359642781246</v>
      </c>
    </row>
    <row r="26" spans="1:3" ht="12.75">
      <c r="A26" s="193">
        <f t="shared" si="2"/>
        <v>44406</v>
      </c>
      <c r="B26" s="358">
        <f t="shared" si="0"/>
        <v>21</v>
      </c>
      <c r="C26" s="194">
        <f t="shared" si="1"/>
        <v>-0.5195839500354343</v>
      </c>
    </row>
    <row r="27" spans="1:3" ht="12.75">
      <c r="A27" s="193">
        <f t="shared" si="2"/>
        <v>44407</v>
      </c>
      <c r="B27" s="358">
        <f t="shared" si="0"/>
        <v>22</v>
      </c>
      <c r="C27" s="194">
        <f t="shared" si="1"/>
        <v>-0.2697967711570244</v>
      </c>
    </row>
    <row r="28" spans="1:5" ht="12.75">
      <c r="A28" s="200">
        <f t="shared" si="2"/>
        <v>44408</v>
      </c>
      <c r="B28" s="360">
        <f t="shared" si="0"/>
        <v>23</v>
      </c>
      <c r="C28" s="201">
        <f t="shared" si="1"/>
        <v>-2.45029690981724E-16</v>
      </c>
      <c r="D28" s="186" t="s">
        <v>308</v>
      </c>
      <c r="E28" s="202"/>
    </row>
    <row r="29" spans="1:3" ht="12.75">
      <c r="A29" s="193">
        <f t="shared" si="2"/>
        <v>44409</v>
      </c>
      <c r="B29" s="358">
        <f t="shared" si="0"/>
        <v>24</v>
      </c>
      <c r="C29" s="194">
        <f t="shared" si="1"/>
        <v>0.26979677115702394</v>
      </c>
    </row>
    <row r="30" spans="1:7" ht="12.75">
      <c r="A30" s="193">
        <f t="shared" si="2"/>
        <v>44410</v>
      </c>
      <c r="B30" s="358">
        <f t="shared" si="0"/>
        <v>25</v>
      </c>
      <c r="C30" s="194">
        <f t="shared" si="1"/>
        <v>0.5195839500354331</v>
      </c>
      <c r="G30" s="370" t="s">
        <v>342</v>
      </c>
    </row>
    <row r="31" spans="1:6" ht="12.75">
      <c r="A31" s="193">
        <f t="shared" si="2"/>
        <v>44411</v>
      </c>
      <c r="B31" s="358">
        <f t="shared" si="0"/>
        <v>26</v>
      </c>
      <c r="C31" s="194">
        <f t="shared" si="1"/>
        <v>0.7308359642781237</v>
      </c>
      <c r="F31" s="370" t="s">
        <v>343</v>
      </c>
    </row>
    <row r="32" spans="1:5" ht="12.75">
      <c r="A32" s="203">
        <f t="shared" si="2"/>
        <v>44412</v>
      </c>
      <c r="B32" s="361">
        <f t="shared" si="0"/>
        <v>27</v>
      </c>
      <c r="C32" s="204">
        <f t="shared" si="1"/>
        <v>0.8878852184023753</v>
      </c>
      <c r="E32" s="370" t="s">
        <v>344</v>
      </c>
    </row>
    <row r="33" spans="1:3" ht="12.75">
      <c r="A33" s="203">
        <f t="shared" si="2"/>
        <v>44413</v>
      </c>
      <c r="B33" s="361">
        <f t="shared" si="0"/>
        <v>28</v>
      </c>
      <c r="C33" s="204">
        <f t="shared" si="1"/>
        <v>0.9790840876823229</v>
      </c>
    </row>
    <row r="34" spans="1:5" ht="12.75">
      <c r="A34" s="203">
        <f t="shared" si="2"/>
        <v>44414</v>
      </c>
      <c r="B34" s="361">
        <f t="shared" si="0"/>
        <v>29</v>
      </c>
      <c r="C34" s="204">
        <f t="shared" si="1"/>
        <v>0.9976687691905393</v>
      </c>
      <c r="D34" s="205" t="s">
        <v>312</v>
      </c>
      <c r="E34" s="205"/>
    </row>
    <row r="35" spans="1:3" ht="12.75">
      <c r="A35" s="203">
        <f t="shared" si="2"/>
        <v>44415</v>
      </c>
      <c r="B35" s="361">
        <f t="shared" si="0"/>
        <v>30</v>
      </c>
      <c r="C35" s="204">
        <f t="shared" si="1"/>
        <v>0.9422609221188206</v>
      </c>
    </row>
    <row r="36" spans="1:29" ht="12.75">
      <c r="A36" s="203">
        <f t="shared" si="2"/>
        <v>44416</v>
      </c>
      <c r="B36" s="361">
        <f t="shared" si="0"/>
        <v>31</v>
      </c>
      <c r="C36" s="204">
        <f t="shared" si="1"/>
        <v>0.8169698930104428</v>
      </c>
      <c r="D36" s="206"/>
      <c r="E36" s="207"/>
      <c r="F36" s="208"/>
      <c r="G36" s="208"/>
      <c r="H36" s="208"/>
      <c r="I36" s="208"/>
      <c r="J36" s="208"/>
      <c r="K36" s="208"/>
      <c r="L36" s="208"/>
      <c r="M36" s="208"/>
      <c r="N36" s="208"/>
      <c r="O36" s="208"/>
      <c r="P36" s="209"/>
      <c r="Q36" s="208"/>
      <c r="R36" s="208"/>
      <c r="S36" s="208"/>
      <c r="T36" s="208"/>
      <c r="U36" s="208"/>
      <c r="V36" s="208"/>
      <c r="W36" s="208"/>
      <c r="X36" s="208"/>
      <c r="Y36" s="208"/>
      <c r="Z36" s="208"/>
      <c r="AA36" s="208"/>
      <c r="AB36" s="210"/>
      <c r="AC36" s="211"/>
    </row>
    <row r="37" spans="1:29" ht="12.75">
      <c r="A37" s="193">
        <f t="shared" si="2"/>
        <v>44417</v>
      </c>
      <c r="B37" s="358">
        <f t="shared" si="0"/>
        <v>32</v>
      </c>
      <c r="C37" s="194">
        <f t="shared" si="1"/>
        <v>0.6310879443260532</v>
      </c>
      <c r="D37" s="212" t="s">
        <v>103</v>
      </c>
      <c r="E37" s="213"/>
      <c r="F37" s="214"/>
      <c r="G37" s="214"/>
      <c r="H37" s="214"/>
      <c r="I37" s="214"/>
      <c r="J37" s="214"/>
      <c r="K37" s="214"/>
      <c r="L37" s="215"/>
      <c r="M37" s="215"/>
      <c r="N37" s="215" t="s">
        <v>309</v>
      </c>
      <c r="O37" s="216"/>
      <c r="P37" s="214"/>
      <c r="Q37" s="217"/>
      <c r="R37" s="214"/>
      <c r="S37" s="214"/>
      <c r="T37" s="214"/>
      <c r="U37" s="214"/>
      <c r="V37" s="214"/>
      <c r="W37" s="214"/>
      <c r="X37" s="214"/>
      <c r="Y37" s="214"/>
      <c r="Z37" s="214"/>
      <c r="AA37" s="214"/>
      <c r="AB37" s="218"/>
      <c r="AC37" s="211"/>
    </row>
    <row r="38" spans="1:29" ht="12.75">
      <c r="A38" s="203">
        <f t="shared" si="2"/>
        <v>44418</v>
      </c>
      <c r="B38" s="361">
        <f t="shared" si="0"/>
        <v>33</v>
      </c>
      <c r="C38" s="204">
        <f t="shared" si="1"/>
        <v>0.39840108984624284</v>
      </c>
      <c r="D38" s="206"/>
      <c r="E38" s="213"/>
      <c r="F38" s="214"/>
      <c r="G38" s="214"/>
      <c r="H38" s="214"/>
      <c r="I38" s="214"/>
      <c r="J38" s="214"/>
      <c r="K38" s="214"/>
      <c r="L38" s="215"/>
      <c r="M38" s="215" t="s">
        <v>309</v>
      </c>
      <c r="N38" s="215"/>
      <c r="O38" s="215" t="s">
        <v>310</v>
      </c>
      <c r="P38" s="214"/>
      <c r="Q38" s="214"/>
      <c r="R38" s="214"/>
      <c r="S38" s="214"/>
      <c r="T38" s="214"/>
      <c r="U38" s="214"/>
      <c r="V38" s="214"/>
      <c r="W38" s="214"/>
      <c r="X38" s="214"/>
      <c r="Y38" s="214"/>
      <c r="Z38" s="214"/>
      <c r="AA38" s="214"/>
      <c r="AB38" s="218"/>
      <c r="AC38" s="211"/>
    </row>
    <row r="39" spans="1:29" ht="13.5" thickBot="1">
      <c r="A39" s="203">
        <f aca="true" t="shared" si="3" ref="A39:A52">A38+1</f>
        <v>44419</v>
      </c>
      <c r="B39" s="361">
        <f t="shared" si="0"/>
        <v>34</v>
      </c>
      <c r="C39" s="204">
        <f t="shared" si="1"/>
        <v>0.13616664909624734</v>
      </c>
      <c r="D39" s="206"/>
      <c r="E39" s="213"/>
      <c r="F39" s="214"/>
      <c r="G39" s="214"/>
      <c r="H39" s="214"/>
      <c r="I39" s="214"/>
      <c r="J39" s="214"/>
      <c r="K39" s="214"/>
      <c r="L39" s="215" t="s">
        <v>309</v>
      </c>
      <c r="M39" s="219"/>
      <c r="N39" s="215"/>
      <c r="O39" s="215"/>
      <c r="P39" s="214" t="s">
        <v>309</v>
      </c>
      <c r="Q39" s="214"/>
      <c r="R39" s="214"/>
      <c r="S39" s="214"/>
      <c r="T39" s="214"/>
      <c r="U39" s="214"/>
      <c r="V39" s="214"/>
      <c r="W39" s="214"/>
      <c r="X39" s="214"/>
      <c r="Y39" s="214"/>
      <c r="Z39" s="214"/>
      <c r="AA39" s="214"/>
      <c r="AB39" s="218"/>
      <c r="AC39" s="211"/>
    </row>
    <row r="40" spans="1:29" ht="13.5" thickBot="1">
      <c r="A40" s="197">
        <f t="shared" si="3"/>
        <v>44420</v>
      </c>
      <c r="B40" s="359">
        <f t="shared" si="0"/>
        <v>35</v>
      </c>
      <c r="C40" s="198">
        <f t="shared" si="1"/>
        <v>-0.1361666490962466</v>
      </c>
      <c r="D40" s="206"/>
      <c r="E40" s="213"/>
      <c r="F40" s="214"/>
      <c r="G40" s="214"/>
      <c r="H40" s="214"/>
      <c r="I40" s="214"/>
      <c r="J40" s="214"/>
      <c r="K40" s="214" t="s">
        <v>310</v>
      </c>
      <c r="L40" s="217"/>
      <c r="M40" s="214"/>
      <c r="N40" s="214"/>
      <c r="O40" s="214"/>
      <c r="P40" s="214"/>
      <c r="Q40" s="214" t="s">
        <v>309</v>
      </c>
      <c r="R40" s="214"/>
      <c r="S40" s="214"/>
      <c r="T40" s="217"/>
      <c r="U40" s="214"/>
      <c r="V40" s="214"/>
      <c r="W40" s="214"/>
      <c r="X40" s="214"/>
      <c r="Y40" s="214"/>
      <c r="Z40" s="214"/>
      <c r="AA40" s="214"/>
      <c r="AB40" s="218"/>
      <c r="AC40" s="211"/>
    </row>
    <row r="41" spans="1:29" ht="12.75">
      <c r="A41" s="203">
        <f t="shared" si="3"/>
        <v>44421</v>
      </c>
      <c r="B41" s="361">
        <f t="shared" si="0"/>
        <v>36</v>
      </c>
      <c r="C41" s="204">
        <f t="shared" si="1"/>
        <v>-0.3984010898462422</v>
      </c>
      <c r="D41" s="206"/>
      <c r="E41" s="213"/>
      <c r="F41" s="214"/>
      <c r="G41" s="214"/>
      <c r="H41" s="214"/>
      <c r="I41" s="214"/>
      <c r="J41" s="214" t="s">
        <v>309</v>
      </c>
      <c r="K41" s="217"/>
      <c r="L41" s="214"/>
      <c r="M41" s="214"/>
      <c r="N41" s="214"/>
      <c r="O41" s="214"/>
      <c r="P41" s="214"/>
      <c r="Q41" s="214"/>
      <c r="R41" s="214" t="s">
        <v>310</v>
      </c>
      <c r="S41" s="214"/>
      <c r="T41" s="214"/>
      <c r="U41" s="217"/>
      <c r="V41" s="214"/>
      <c r="W41" s="214"/>
      <c r="X41" s="214"/>
      <c r="Y41" s="214"/>
      <c r="Z41" s="214"/>
      <c r="AA41" s="214"/>
      <c r="AB41" s="218"/>
      <c r="AC41" s="211"/>
    </row>
    <row r="42" spans="1:29" ht="13.5" thickBot="1">
      <c r="A42" s="203">
        <f t="shared" si="3"/>
        <v>44422</v>
      </c>
      <c r="B42" s="361">
        <f t="shared" si="0"/>
        <v>37</v>
      </c>
      <c r="C42" s="204">
        <f t="shared" si="1"/>
        <v>-0.6310879443260526</v>
      </c>
      <c r="D42" s="220" t="s">
        <v>105</v>
      </c>
      <c r="E42" s="221"/>
      <c r="F42" s="222"/>
      <c r="G42" s="222"/>
      <c r="H42" s="222"/>
      <c r="I42" s="222" t="s">
        <v>309</v>
      </c>
      <c r="J42" s="214"/>
      <c r="K42" s="222"/>
      <c r="L42" s="222"/>
      <c r="M42" s="222"/>
      <c r="N42" s="222"/>
      <c r="O42" s="222"/>
      <c r="P42" s="222"/>
      <c r="Q42" s="222"/>
      <c r="R42" s="222"/>
      <c r="S42" s="222" t="s">
        <v>309</v>
      </c>
      <c r="T42" s="222"/>
      <c r="U42" s="222"/>
      <c r="V42" s="214"/>
      <c r="W42" s="222"/>
      <c r="X42" s="222"/>
      <c r="Y42" s="222"/>
      <c r="Z42" s="222"/>
      <c r="AA42" s="222"/>
      <c r="AB42" s="223"/>
      <c r="AC42" s="211"/>
    </row>
    <row r="43" spans="1:29" ht="13.5" thickTop="1">
      <c r="A43" s="203">
        <f t="shared" si="3"/>
        <v>44423</v>
      </c>
      <c r="B43" s="361">
        <f t="shared" si="0"/>
        <v>38</v>
      </c>
      <c r="C43" s="204">
        <f t="shared" si="1"/>
        <v>-0.8169698930104423</v>
      </c>
      <c r="D43" s="206"/>
      <c r="E43" s="213"/>
      <c r="F43" s="214"/>
      <c r="G43" s="214"/>
      <c r="H43" s="214" t="s">
        <v>310</v>
      </c>
      <c r="I43" s="217"/>
      <c r="J43" s="224"/>
      <c r="K43" s="214"/>
      <c r="L43" s="214"/>
      <c r="M43" s="214"/>
      <c r="N43" s="214"/>
      <c r="O43" s="214"/>
      <c r="P43" s="214"/>
      <c r="Q43" s="214"/>
      <c r="R43" s="214"/>
      <c r="S43" s="214"/>
      <c r="T43" s="214" t="s">
        <v>309</v>
      </c>
      <c r="U43" s="214"/>
      <c r="V43" s="224"/>
      <c r="W43" s="217"/>
      <c r="X43" s="214"/>
      <c r="Y43" s="214"/>
      <c r="Z43" s="214"/>
      <c r="AA43" s="214"/>
      <c r="AB43" s="218"/>
      <c r="AC43" s="211"/>
    </row>
    <row r="44" spans="1:29" ht="12.75">
      <c r="A44" s="203">
        <f t="shared" si="3"/>
        <v>44424</v>
      </c>
      <c r="B44" s="361">
        <f t="shared" si="0"/>
        <v>39</v>
      </c>
      <c r="C44" s="204">
        <f t="shared" si="1"/>
        <v>-0.9422609221188203</v>
      </c>
      <c r="D44" s="206"/>
      <c r="E44" s="213"/>
      <c r="F44" s="214"/>
      <c r="G44" s="214" t="s">
        <v>309</v>
      </c>
      <c r="H44" s="214"/>
      <c r="I44" s="214"/>
      <c r="J44" s="214"/>
      <c r="K44" s="214"/>
      <c r="L44" s="214"/>
      <c r="M44" s="214"/>
      <c r="N44" s="214"/>
      <c r="O44" s="214"/>
      <c r="P44" s="214"/>
      <c r="Q44" s="214"/>
      <c r="R44" s="214"/>
      <c r="S44" s="214"/>
      <c r="T44" s="214"/>
      <c r="U44" s="214" t="s">
        <v>310</v>
      </c>
      <c r="V44" s="214"/>
      <c r="W44" s="214"/>
      <c r="X44" s="217"/>
      <c r="Y44" s="214"/>
      <c r="Z44" s="214"/>
      <c r="AA44" s="214"/>
      <c r="AB44" s="218"/>
      <c r="AC44" s="211"/>
    </row>
    <row r="45" spans="1:29" ht="12.75">
      <c r="A45" s="203">
        <f t="shared" si="3"/>
        <v>44425</v>
      </c>
      <c r="B45" s="361">
        <f t="shared" si="0"/>
        <v>40</v>
      </c>
      <c r="C45" s="204">
        <f t="shared" si="1"/>
        <v>-0.9976687691905392</v>
      </c>
      <c r="D45" s="206"/>
      <c r="E45" s="213"/>
      <c r="F45" s="214" t="s">
        <v>309</v>
      </c>
      <c r="G45" s="214"/>
      <c r="H45" s="214"/>
      <c r="I45" s="214"/>
      <c r="J45" s="214"/>
      <c r="K45" s="214"/>
      <c r="L45" s="214"/>
      <c r="M45" s="214"/>
      <c r="N45" s="214"/>
      <c r="O45" s="214"/>
      <c r="P45" s="214"/>
      <c r="Q45" s="214"/>
      <c r="R45" s="214"/>
      <c r="S45" s="214"/>
      <c r="T45" s="214"/>
      <c r="U45" s="214"/>
      <c r="V45" s="214" t="s">
        <v>310</v>
      </c>
      <c r="W45" s="214"/>
      <c r="X45" s="214"/>
      <c r="Y45" s="214"/>
      <c r="Z45" s="214"/>
      <c r="AA45" s="214"/>
      <c r="AB45" s="225" t="s">
        <v>309</v>
      </c>
      <c r="AC45" s="211"/>
    </row>
    <row r="46" spans="1:29" ht="12.75">
      <c r="A46" s="203">
        <f t="shared" si="3"/>
        <v>44426</v>
      </c>
      <c r="B46" s="361">
        <f t="shared" si="0"/>
        <v>41</v>
      </c>
      <c r="C46" s="204">
        <f t="shared" si="1"/>
        <v>-0.979084087682323</v>
      </c>
      <c r="D46" s="206"/>
      <c r="E46" s="213" t="s">
        <v>310</v>
      </c>
      <c r="F46" s="214"/>
      <c r="G46" s="214"/>
      <c r="H46" s="214"/>
      <c r="I46" s="214"/>
      <c r="J46" s="214"/>
      <c r="K46" s="214"/>
      <c r="L46" s="214"/>
      <c r="M46" s="214"/>
      <c r="N46" s="214"/>
      <c r="O46" s="214"/>
      <c r="P46" s="214"/>
      <c r="Q46" s="214"/>
      <c r="R46" s="214"/>
      <c r="S46" s="214"/>
      <c r="T46" s="214"/>
      <c r="U46" s="214"/>
      <c r="V46" s="214"/>
      <c r="W46" s="214" t="s">
        <v>310</v>
      </c>
      <c r="X46" s="214"/>
      <c r="Y46" s="214"/>
      <c r="Z46" s="214"/>
      <c r="AA46" s="214" t="s">
        <v>310</v>
      </c>
      <c r="AB46" s="218"/>
      <c r="AC46" s="211"/>
    </row>
    <row r="47" spans="1:29" ht="12.75">
      <c r="A47" s="203">
        <f t="shared" si="3"/>
        <v>44427</v>
      </c>
      <c r="B47" s="361">
        <f t="shared" si="0"/>
        <v>42</v>
      </c>
      <c r="C47" s="204">
        <f t="shared" si="1"/>
        <v>-0.887885218402376</v>
      </c>
      <c r="D47" s="212"/>
      <c r="E47" s="213"/>
      <c r="F47" s="214"/>
      <c r="G47" s="214"/>
      <c r="H47" s="214"/>
      <c r="I47" s="214"/>
      <c r="J47" s="214"/>
      <c r="K47" s="214"/>
      <c r="L47" s="214"/>
      <c r="M47" s="214"/>
      <c r="N47" s="214"/>
      <c r="O47" s="214"/>
      <c r="P47" s="214"/>
      <c r="Q47" s="214"/>
      <c r="R47" s="214"/>
      <c r="S47" s="214"/>
      <c r="T47" s="214"/>
      <c r="U47" s="214"/>
      <c r="V47" s="214"/>
      <c r="W47" s="214"/>
      <c r="X47" s="214" t="s">
        <v>310</v>
      </c>
      <c r="Y47" s="214"/>
      <c r="Z47" s="214" t="s">
        <v>310</v>
      </c>
      <c r="AA47" s="214"/>
      <c r="AB47" s="218"/>
      <c r="AC47" s="211"/>
    </row>
    <row r="48" spans="1:29" ht="12.75">
      <c r="A48" s="193">
        <f t="shared" si="3"/>
        <v>44428</v>
      </c>
      <c r="B48" s="358">
        <f t="shared" si="0"/>
        <v>43</v>
      </c>
      <c r="C48" s="194">
        <f t="shared" si="1"/>
        <v>-0.7308359642781236</v>
      </c>
      <c r="D48" s="212" t="s">
        <v>106</v>
      </c>
      <c r="E48" s="226"/>
      <c r="F48" s="227"/>
      <c r="G48" s="228"/>
      <c r="H48" s="227"/>
      <c r="I48" s="227"/>
      <c r="J48" s="227"/>
      <c r="K48" s="227"/>
      <c r="L48" s="227"/>
      <c r="M48" s="227"/>
      <c r="N48" s="227"/>
      <c r="O48" s="227"/>
      <c r="P48" s="227"/>
      <c r="Q48" s="227"/>
      <c r="R48" s="227"/>
      <c r="S48" s="227"/>
      <c r="T48" s="227"/>
      <c r="U48" s="227"/>
      <c r="V48" s="227"/>
      <c r="W48" s="227"/>
      <c r="X48" s="227"/>
      <c r="Y48" s="228" t="s">
        <v>310</v>
      </c>
      <c r="Z48" s="227"/>
      <c r="AA48" s="227"/>
      <c r="AB48" s="213"/>
      <c r="AC48" s="211"/>
    </row>
    <row r="49" spans="1:29" ht="12.75">
      <c r="A49" s="203">
        <f t="shared" si="3"/>
        <v>44429</v>
      </c>
      <c r="B49" s="361">
        <f t="shared" si="0"/>
        <v>44</v>
      </c>
      <c r="C49" s="204">
        <f t="shared" si="1"/>
        <v>-0.5195839500354338</v>
      </c>
      <c r="D49" s="206"/>
      <c r="E49" s="229"/>
      <c r="F49" s="230"/>
      <c r="G49" s="230"/>
      <c r="H49" s="230"/>
      <c r="I49" s="230"/>
      <c r="J49" s="230"/>
      <c r="K49" s="230"/>
      <c r="L49" s="230"/>
      <c r="M49" s="230"/>
      <c r="N49" s="230"/>
      <c r="O49" s="230"/>
      <c r="P49" s="230"/>
      <c r="Q49" s="230"/>
      <c r="R49" s="230"/>
      <c r="S49" s="230"/>
      <c r="T49" s="230"/>
      <c r="U49" s="230"/>
      <c r="V49" s="230"/>
      <c r="W49" s="230"/>
      <c r="X49" s="230"/>
      <c r="Y49" s="230"/>
      <c r="Z49" s="230"/>
      <c r="AA49" s="230"/>
      <c r="AB49" s="231"/>
      <c r="AC49" s="211"/>
    </row>
    <row r="50" spans="1:29" ht="12.75">
      <c r="A50" s="203">
        <f t="shared" si="3"/>
        <v>44430</v>
      </c>
      <c r="B50" s="361">
        <f t="shared" si="0"/>
        <v>45</v>
      </c>
      <c r="C50" s="204">
        <f t="shared" si="1"/>
        <v>-0.2697967711570238</v>
      </c>
      <c r="D50" s="220"/>
      <c r="E50" s="214"/>
      <c r="F50" s="214"/>
      <c r="G50" s="214"/>
      <c r="H50" s="214"/>
      <c r="I50" s="214"/>
      <c r="J50" s="214"/>
      <c r="K50" s="215"/>
      <c r="L50" s="214"/>
      <c r="M50" s="214"/>
      <c r="N50" s="214"/>
      <c r="O50" s="214"/>
      <c r="P50" s="214"/>
      <c r="Q50" s="214"/>
      <c r="R50" s="215"/>
      <c r="S50" s="214"/>
      <c r="T50" s="214"/>
      <c r="U50" s="214"/>
      <c r="V50" s="214"/>
      <c r="W50" s="214"/>
      <c r="X50" s="214"/>
      <c r="Y50" s="215"/>
      <c r="Z50" s="214"/>
      <c r="AA50" s="214"/>
      <c r="AB50" s="214"/>
      <c r="AC50" s="211"/>
    </row>
    <row r="51" spans="1:28" ht="12.75">
      <c r="A51" s="200">
        <f t="shared" si="3"/>
        <v>44431</v>
      </c>
      <c r="B51" s="360">
        <f t="shared" si="0"/>
        <v>46</v>
      </c>
      <c r="C51" s="201">
        <f t="shared" si="1"/>
        <v>-4.90059381963448E-16</v>
      </c>
      <c r="D51" s="220" t="s">
        <v>107</v>
      </c>
      <c r="E51" s="214" t="s">
        <v>108</v>
      </c>
      <c r="F51" s="214" t="s">
        <v>109</v>
      </c>
      <c r="G51" s="214" t="s">
        <v>110</v>
      </c>
      <c r="H51" s="214" t="s">
        <v>111</v>
      </c>
      <c r="I51" s="214" t="s">
        <v>112</v>
      </c>
      <c r="J51" s="214" t="s">
        <v>113</v>
      </c>
      <c r="K51" s="215" t="s">
        <v>114</v>
      </c>
      <c r="L51" s="214" t="s">
        <v>115</v>
      </c>
      <c r="M51" s="214" t="s">
        <v>116</v>
      </c>
      <c r="N51" s="214" t="s">
        <v>117</v>
      </c>
      <c r="O51" s="214" t="s">
        <v>118</v>
      </c>
      <c r="P51" s="214" t="s">
        <v>119</v>
      </c>
      <c r="Q51" s="214" t="s">
        <v>120</v>
      </c>
      <c r="R51" s="215" t="s">
        <v>121</v>
      </c>
      <c r="S51" s="214" t="s">
        <v>122</v>
      </c>
      <c r="T51" s="214" t="s">
        <v>123</v>
      </c>
      <c r="U51" s="214" t="s">
        <v>124</v>
      </c>
      <c r="V51" s="214" t="s">
        <v>125</v>
      </c>
      <c r="W51" s="214" t="s">
        <v>126</v>
      </c>
      <c r="X51" s="214" t="s">
        <v>127</v>
      </c>
      <c r="Y51" s="215" t="s">
        <v>128</v>
      </c>
      <c r="Z51" s="214" t="s">
        <v>129</v>
      </c>
      <c r="AA51" s="214" t="s">
        <v>130</v>
      </c>
      <c r="AB51" s="214" t="s">
        <v>131</v>
      </c>
    </row>
    <row r="52" spans="1:3" ht="12.75">
      <c r="A52" s="203">
        <f t="shared" si="3"/>
        <v>44432</v>
      </c>
      <c r="B52" s="361">
        <f t="shared" si="0"/>
        <v>47</v>
      </c>
      <c r="C52" s="204">
        <f t="shared" si="1"/>
        <v>0.26979677115702455</v>
      </c>
    </row>
    <row r="53" spans="1:3" ht="12.75">
      <c r="A53" s="203">
        <f aca="true" t="shared" si="4" ref="A53:A62">A52+1</f>
        <v>44433</v>
      </c>
      <c r="B53" s="361">
        <f t="shared" si="0"/>
        <v>48</v>
      </c>
      <c r="C53" s="204">
        <f t="shared" si="1"/>
        <v>0.5195839500354329</v>
      </c>
    </row>
    <row r="54" spans="1:3" ht="12.75">
      <c r="A54" s="203">
        <f t="shared" si="4"/>
        <v>44434</v>
      </c>
      <c r="B54" s="361">
        <f t="shared" si="0"/>
        <v>49</v>
      </c>
      <c r="C54" s="204">
        <f t="shared" si="1"/>
        <v>0.7308359642781241</v>
      </c>
    </row>
    <row r="55" spans="1:3" ht="12.75">
      <c r="A55" s="203">
        <f t="shared" si="4"/>
        <v>44435</v>
      </c>
      <c r="B55" s="361">
        <f t="shared" si="0"/>
        <v>50</v>
      </c>
      <c r="C55" s="204">
        <f t="shared" si="1"/>
        <v>0.8878852184023748</v>
      </c>
    </row>
    <row r="56" spans="1:3" ht="12.75">
      <c r="A56" s="203">
        <f t="shared" si="4"/>
        <v>44436</v>
      </c>
      <c r="B56" s="361">
        <f t="shared" si="0"/>
        <v>51</v>
      </c>
      <c r="C56" s="204">
        <f t="shared" si="1"/>
        <v>0.9790840876823228</v>
      </c>
    </row>
    <row r="57" spans="1:3" ht="12.75">
      <c r="A57" s="203">
        <f t="shared" si="4"/>
        <v>44437</v>
      </c>
      <c r="B57" s="361">
        <f t="shared" si="0"/>
        <v>52</v>
      </c>
      <c r="C57" s="204">
        <f t="shared" si="1"/>
        <v>0.9976687691905393</v>
      </c>
    </row>
    <row r="58" spans="1:3" ht="12.75">
      <c r="A58" s="203">
        <f t="shared" si="4"/>
        <v>44438</v>
      </c>
      <c r="B58" s="361">
        <f t="shared" si="0"/>
        <v>53</v>
      </c>
      <c r="C58" s="204">
        <f t="shared" si="1"/>
        <v>0.9422609221188206</v>
      </c>
    </row>
    <row r="59" spans="1:3" ht="12.75">
      <c r="A59" s="203">
        <f t="shared" si="4"/>
        <v>44439</v>
      </c>
      <c r="B59" s="361">
        <f t="shared" si="0"/>
        <v>54</v>
      </c>
      <c r="C59" s="204">
        <f t="shared" si="1"/>
        <v>0.8169698930104419</v>
      </c>
    </row>
    <row r="60" spans="1:3" ht="12.75">
      <c r="A60" s="193">
        <f t="shared" si="4"/>
        <v>44440</v>
      </c>
      <c r="B60" s="358">
        <f t="shared" si="0"/>
        <v>55</v>
      </c>
      <c r="C60" s="194">
        <f t="shared" si="1"/>
        <v>0.6310879443260534</v>
      </c>
    </row>
    <row r="61" spans="1:3" ht="12.75">
      <c r="A61" s="203">
        <f t="shared" si="4"/>
        <v>44441</v>
      </c>
      <c r="B61" s="361">
        <f t="shared" si="0"/>
        <v>56</v>
      </c>
      <c r="C61" s="204">
        <f t="shared" si="1"/>
        <v>0.39840108984624145</v>
      </c>
    </row>
    <row r="62" spans="1:3" ht="13.5" thickBot="1">
      <c r="A62" s="203">
        <f t="shared" si="4"/>
        <v>44442</v>
      </c>
      <c r="B62" s="361">
        <f t="shared" si="0"/>
        <v>57</v>
      </c>
      <c r="C62" s="204">
        <f t="shared" si="1"/>
        <v>0.13616664909624757</v>
      </c>
    </row>
    <row r="63" spans="1:3" ht="13.5" thickBot="1">
      <c r="A63" s="197">
        <f aca="true" t="shared" si="5" ref="A63:A106">A62+1</f>
        <v>44443</v>
      </c>
      <c r="B63" s="359">
        <f t="shared" si="0"/>
        <v>58</v>
      </c>
      <c r="C63" s="198">
        <f t="shared" si="1"/>
        <v>-0.13616664909624637</v>
      </c>
    </row>
    <row r="64" spans="1:3" ht="12.75">
      <c r="A64" s="203">
        <f t="shared" si="5"/>
        <v>44444</v>
      </c>
      <c r="B64" s="361">
        <f t="shared" si="0"/>
        <v>59</v>
      </c>
      <c r="C64" s="204">
        <f t="shared" si="1"/>
        <v>-0.39840108984624034</v>
      </c>
    </row>
    <row r="65" spans="1:3" ht="12.75">
      <c r="A65" s="203">
        <f t="shared" si="5"/>
        <v>44445</v>
      </c>
      <c r="B65" s="361">
        <f t="shared" si="0"/>
        <v>60</v>
      </c>
      <c r="C65" s="204">
        <f t="shared" si="1"/>
        <v>-0.6310879443260524</v>
      </c>
    </row>
    <row r="66" spans="1:3" ht="12.75">
      <c r="A66" s="203">
        <f t="shared" si="5"/>
        <v>44446</v>
      </c>
      <c r="B66" s="361">
        <f t="shared" si="0"/>
        <v>61</v>
      </c>
      <c r="C66" s="204">
        <f t="shared" si="1"/>
        <v>-0.8169698930104401</v>
      </c>
    </row>
    <row r="67" spans="1:3" ht="12.75">
      <c r="A67" s="203">
        <f t="shared" si="5"/>
        <v>44447</v>
      </c>
      <c r="B67" s="361">
        <f t="shared" si="0"/>
        <v>62</v>
      </c>
      <c r="C67" s="204">
        <f t="shared" si="1"/>
        <v>-0.9422609221188196</v>
      </c>
    </row>
    <row r="68" spans="1:3" ht="12.75">
      <c r="A68" s="203">
        <f t="shared" si="5"/>
        <v>44448</v>
      </c>
      <c r="B68" s="361">
        <f t="shared" si="0"/>
        <v>63</v>
      </c>
      <c r="C68" s="204">
        <f t="shared" si="1"/>
        <v>-0.9976687691905394</v>
      </c>
    </row>
    <row r="69" spans="1:3" ht="12.75">
      <c r="A69" s="203">
        <f t="shared" si="5"/>
        <v>44449</v>
      </c>
      <c r="B69" s="361">
        <f t="shared" si="0"/>
        <v>64</v>
      </c>
      <c r="C69" s="204">
        <f t="shared" si="1"/>
        <v>-0.979084087682323</v>
      </c>
    </row>
    <row r="70" spans="1:3" ht="12.75">
      <c r="A70" s="203">
        <f t="shared" si="5"/>
        <v>44450</v>
      </c>
      <c r="B70" s="361">
        <f t="shared" si="0"/>
        <v>65</v>
      </c>
      <c r="C70" s="204">
        <f t="shared" si="1"/>
        <v>-0.8878852184023753</v>
      </c>
    </row>
    <row r="71" spans="1:3" ht="12.75">
      <c r="A71" s="193">
        <f t="shared" si="5"/>
        <v>44451</v>
      </c>
      <c r="B71" s="358">
        <f t="shared" si="0"/>
        <v>66</v>
      </c>
      <c r="C71" s="194">
        <f t="shared" si="1"/>
        <v>-0.7308359642781261</v>
      </c>
    </row>
    <row r="72" spans="1:3" ht="12.75">
      <c r="A72" s="203">
        <f t="shared" si="5"/>
        <v>44452</v>
      </c>
      <c r="B72" s="361">
        <f t="shared" si="0"/>
        <v>67</v>
      </c>
      <c r="C72" s="204">
        <f t="shared" si="1"/>
        <v>-0.5195839500354325</v>
      </c>
    </row>
    <row r="73" spans="1:3" ht="12.75">
      <c r="A73" s="203">
        <f t="shared" si="5"/>
        <v>44453</v>
      </c>
      <c r="B73" s="361">
        <f>A73-$B$3</f>
        <v>68</v>
      </c>
      <c r="C73" s="204">
        <f>SIN(2*PI()*(B73/$C$6))</f>
        <v>-0.2697967711570257</v>
      </c>
    </row>
    <row r="74" spans="1:3" ht="12.75">
      <c r="A74" s="200">
        <f t="shared" si="5"/>
        <v>44454</v>
      </c>
      <c r="B74" s="360">
        <f t="shared" si="0"/>
        <v>69</v>
      </c>
      <c r="C74" s="201">
        <f t="shared" si="1"/>
        <v>-7.35089072945172E-16</v>
      </c>
    </row>
    <row r="75" spans="1:3" ht="12.75">
      <c r="A75" s="203">
        <f t="shared" si="5"/>
        <v>44455</v>
      </c>
      <c r="B75" s="361">
        <f aca="true" t="shared" si="6" ref="B75:B140">A75-$B$3</f>
        <v>70</v>
      </c>
      <c r="C75" s="204">
        <f aca="true" t="shared" si="7" ref="C75:C140">SIN(2*PI()*(B75/$C$6))</f>
        <v>0.2697967711570243</v>
      </c>
    </row>
    <row r="76" spans="1:3" ht="12.75">
      <c r="A76" s="203">
        <f t="shared" si="5"/>
        <v>44456</v>
      </c>
      <c r="B76" s="361">
        <f t="shared" si="6"/>
        <v>71</v>
      </c>
      <c r="C76" s="204">
        <f t="shared" si="7"/>
        <v>0.5195839500354312</v>
      </c>
    </row>
    <row r="77" spans="1:3" ht="12.75">
      <c r="A77" s="203">
        <f t="shared" si="5"/>
        <v>44457</v>
      </c>
      <c r="B77" s="361">
        <f t="shared" si="6"/>
        <v>72</v>
      </c>
      <c r="C77" s="204">
        <f t="shared" si="7"/>
        <v>0.7308359642781251</v>
      </c>
    </row>
    <row r="78" spans="1:3" ht="12.75">
      <c r="A78" s="203">
        <f t="shared" si="5"/>
        <v>44458</v>
      </c>
      <c r="B78" s="361">
        <f t="shared" si="6"/>
        <v>73</v>
      </c>
      <c r="C78" s="204">
        <f t="shared" si="7"/>
        <v>0.8878852184023747</v>
      </c>
    </row>
    <row r="79" spans="1:3" ht="12.75">
      <c r="A79" s="203">
        <f t="shared" si="5"/>
        <v>44459</v>
      </c>
      <c r="B79" s="361">
        <f t="shared" si="6"/>
        <v>74</v>
      </c>
      <c r="C79" s="204">
        <f t="shared" si="7"/>
        <v>0.9790840876823228</v>
      </c>
    </row>
    <row r="80" spans="1:3" ht="12.75">
      <c r="A80" s="203">
        <f t="shared" si="5"/>
        <v>44460</v>
      </c>
      <c r="B80" s="361">
        <f t="shared" si="6"/>
        <v>75</v>
      </c>
      <c r="C80" s="204">
        <f t="shared" si="7"/>
        <v>0.9976687691905394</v>
      </c>
    </row>
    <row r="81" spans="1:3" ht="12.75">
      <c r="A81" s="203">
        <f t="shared" si="5"/>
        <v>44461</v>
      </c>
      <c r="B81" s="361">
        <f t="shared" si="6"/>
        <v>76</v>
      </c>
      <c r="C81" s="204">
        <f t="shared" si="7"/>
        <v>0.9422609221188202</v>
      </c>
    </row>
    <row r="82" spans="1:3" ht="12.75">
      <c r="A82" s="203">
        <f t="shared" si="5"/>
        <v>44462</v>
      </c>
      <c r="B82" s="361">
        <f t="shared" si="6"/>
        <v>77</v>
      </c>
      <c r="C82" s="204">
        <f t="shared" si="7"/>
        <v>0.816969893010441</v>
      </c>
    </row>
    <row r="83" spans="1:3" ht="12.75">
      <c r="A83" s="193">
        <f t="shared" si="5"/>
        <v>44463</v>
      </c>
      <c r="B83" s="358">
        <f t="shared" si="6"/>
        <v>78</v>
      </c>
      <c r="C83" s="194">
        <f t="shared" si="7"/>
        <v>0.6310879443260535</v>
      </c>
    </row>
    <row r="84" spans="1:3" ht="12.75">
      <c r="A84" s="203">
        <f t="shared" si="5"/>
        <v>44464</v>
      </c>
      <c r="B84" s="361">
        <f t="shared" si="6"/>
        <v>79</v>
      </c>
      <c r="C84" s="204">
        <f t="shared" si="7"/>
        <v>0.3984010898462417</v>
      </c>
    </row>
    <row r="85" spans="1:3" ht="13.5" thickBot="1">
      <c r="A85" s="203">
        <f t="shared" si="5"/>
        <v>44465</v>
      </c>
      <c r="B85" s="361">
        <f t="shared" si="6"/>
        <v>80</v>
      </c>
      <c r="C85" s="204">
        <f t="shared" si="7"/>
        <v>0.13616664909624956</v>
      </c>
    </row>
    <row r="86" spans="1:3" ht="13.5" thickBot="1">
      <c r="A86" s="197">
        <f t="shared" si="5"/>
        <v>44466</v>
      </c>
      <c r="B86" s="359">
        <f t="shared" si="6"/>
        <v>81</v>
      </c>
      <c r="C86" s="198">
        <f t="shared" si="7"/>
        <v>-0.13616664909624787</v>
      </c>
    </row>
    <row r="87" spans="1:3" ht="12.75">
      <c r="A87" s="203">
        <f t="shared" si="5"/>
        <v>44467</v>
      </c>
      <c r="B87" s="361">
        <f t="shared" si="6"/>
        <v>82</v>
      </c>
      <c r="C87" s="204">
        <f t="shared" si="7"/>
        <v>-0.39840108984624006</v>
      </c>
    </row>
    <row r="88" spans="1:3" ht="12.75">
      <c r="A88" s="203">
        <f t="shared" si="5"/>
        <v>44468</v>
      </c>
      <c r="B88" s="361">
        <f t="shared" si="6"/>
        <v>83</v>
      </c>
      <c r="C88" s="204">
        <f t="shared" si="7"/>
        <v>-0.6310879443260522</v>
      </c>
    </row>
    <row r="89" spans="1:3" ht="12.75">
      <c r="A89" s="203">
        <f t="shared" si="5"/>
        <v>44469</v>
      </c>
      <c r="B89" s="361">
        <f t="shared" si="6"/>
        <v>84</v>
      </c>
      <c r="C89" s="204">
        <f t="shared" si="7"/>
        <v>-0.81696989301044</v>
      </c>
    </row>
    <row r="90" spans="1:3" ht="12.75">
      <c r="A90" s="203">
        <f t="shared" si="5"/>
        <v>44470</v>
      </c>
      <c r="B90" s="361">
        <f t="shared" si="6"/>
        <v>85</v>
      </c>
      <c r="C90" s="204">
        <f t="shared" si="7"/>
        <v>-0.9422609221188196</v>
      </c>
    </row>
    <row r="91" spans="1:3" ht="12.75">
      <c r="A91" s="203">
        <f t="shared" si="5"/>
        <v>44471</v>
      </c>
      <c r="B91" s="361">
        <f t="shared" si="6"/>
        <v>86</v>
      </c>
      <c r="C91" s="204">
        <f t="shared" si="7"/>
        <v>-0.9976687691905393</v>
      </c>
    </row>
    <row r="92" spans="1:3" ht="12.75">
      <c r="A92" s="203">
        <f t="shared" si="5"/>
        <v>44472</v>
      </c>
      <c r="B92" s="361">
        <f t="shared" si="6"/>
        <v>87</v>
      </c>
      <c r="C92" s="204">
        <f t="shared" si="7"/>
        <v>-0.9790840876823231</v>
      </c>
    </row>
    <row r="93" spans="1:3" ht="12.75">
      <c r="A93" s="203">
        <f t="shared" si="5"/>
        <v>44473</v>
      </c>
      <c r="B93" s="361">
        <f t="shared" si="6"/>
        <v>88</v>
      </c>
      <c r="C93" s="204">
        <f t="shared" si="7"/>
        <v>-0.8878852184023754</v>
      </c>
    </row>
    <row r="94" spans="1:3" ht="12.75">
      <c r="A94" s="193">
        <f t="shared" si="5"/>
        <v>44474</v>
      </c>
      <c r="B94" s="358">
        <f t="shared" si="6"/>
        <v>89</v>
      </c>
      <c r="C94" s="194">
        <f t="shared" si="7"/>
        <v>-0.7308359642781264</v>
      </c>
    </row>
    <row r="95" spans="1:3" ht="12.75">
      <c r="A95" s="203">
        <f t="shared" si="5"/>
        <v>44475</v>
      </c>
      <c r="B95" s="361">
        <f t="shared" si="6"/>
        <v>90</v>
      </c>
      <c r="C95" s="204">
        <f t="shared" si="7"/>
        <v>-0.5195839500354327</v>
      </c>
    </row>
    <row r="96" spans="1:3" ht="12.75">
      <c r="A96" s="203">
        <f t="shared" si="5"/>
        <v>44476</v>
      </c>
      <c r="B96" s="361">
        <f t="shared" si="6"/>
        <v>91</v>
      </c>
      <c r="C96" s="204">
        <f t="shared" si="7"/>
        <v>-0.26979677115702594</v>
      </c>
    </row>
    <row r="97" spans="1:3" ht="12.75">
      <c r="A97" s="200">
        <f t="shared" si="5"/>
        <v>44477</v>
      </c>
      <c r="B97" s="360">
        <f t="shared" si="6"/>
        <v>92</v>
      </c>
      <c r="C97" s="201">
        <f t="shared" si="7"/>
        <v>-9.80118763926896E-16</v>
      </c>
    </row>
    <row r="98" spans="1:3" ht="12.75">
      <c r="A98" s="203">
        <f t="shared" si="5"/>
        <v>44478</v>
      </c>
      <c r="B98" s="361">
        <f t="shared" si="6"/>
        <v>93</v>
      </c>
      <c r="C98" s="204">
        <f t="shared" si="7"/>
        <v>0.26979677115702405</v>
      </c>
    </row>
    <row r="99" spans="1:3" ht="12.75">
      <c r="A99" s="203">
        <f t="shared" si="5"/>
        <v>44479</v>
      </c>
      <c r="B99" s="361">
        <f t="shared" si="6"/>
        <v>94</v>
      </c>
      <c r="C99" s="204">
        <f t="shared" si="7"/>
        <v>0.519583950035434</v>
      </c>
    </row>
    <row r="100" spans="1:3" ht="12.75">
      <c r="A100" s="203">
        <f t="shared" si="5"/>
        <v>44480</v>
      </c>
      <c r="B100" s="361">
        <f t="shared" si="6"/>
        <v>95</v>
      </c>
      <c r="C100" s="204">
        <f t="shared" si="7"/>
        <v>0.7308359642781226</v>
      </c>
    </row>
    <row r="101" spans="1:3" ht="12.75">
      <c r="A101" s="203">
        <f t="shared" si="5"/>
        <v>44481</v>
      </c>
      <c r="B101" s="361">
        <f t="shared" si="6"/>
        <v>96</v>
      </c>
      <c r="C101" s="204">
        <f t="shared" si="7"/>
        <v>0.8878852184023746</v>
      </c>
    </row>
    <row r="102" spans="1:3" ht="12.75">
      <c r="A102" s="203">
        <f t="shared" si="5"/>
        <v>44482</v>
      </c>
      <c r="B102" s="361">
        <f t="shared" si="6"/>
        <v>97</v>
      </c>
      <c r="C102" s="204">
        <f t="shared" si="7"/>
        <v>0.9790840876823227</v>
      </c>
    </row>
    <row r="103" spans="1:3" ht="12.75">
      <c r="A103" s="203">
        <f t="shared" si="5"/>
        <v>44483</v>
      </c>
      <c r="B103" s="361">
        <f t="shared" si="6"/>
        <v>98</v>
      </c>
      <c r="C103" s="204">
        <f t="shared" si="7"/>
        <v>0.9976687691905392</v>
      </c>
    </row>
    <row r="104" spans="1:3" ht="12.75">
      <c r="A104" s="203">
        <f t="shared" si="5"/>
        <v>44484</v>
      </c>
      <c r="B104" s="361">
        <f t="shared" si="6"/>
        <v>99</v>
      </c>
      <c r="C104" s="204">
        <f t="shared" si="7"/>
        <v>0.9422609221188214</v>
      </c>
    </row>
    <row r="105" spans="1:3" ht="12.75">
      <c r="A105" s="203">
        <f t="shared" si="5"/>
        <v>44485</v>
      </c>
      <c r="B105" s="361">
        <f t="shared" si="6"/>
        <v>100</v>
      </c>
      <c r="C105" s="204">
        <f t="shared" si="7"/>
        <v>0.8169698930104432</v>
      </c>
    </row>
    <row r="106" spans="1:3" ht="12.75">
      <c r="A106" s="193">
        <f t="shared" si="5"/>
        <v>44486</v>
      </c>
      <c r="B106" s="358">
        <f t="shared" si="6"/>
        <v>101</v>
      </c>
      <c r="C106" s="194">
        <f t="shared" si="7"/>
        <v>0.6310879443260538</v>
      </c>
    </row>
    <row r="107" spans="1:3" ht="12.75">
      <c r="A107" s="203">
        <f aca="true" t="shared" si="8" ref="A107:A128">A106+1</f>
        <v>44487</v>
      </c>
      <c r="B107" s="361">
        <f t="shared" si="6"/>
        <v>102</v>
      </c>
      <c r="C107" s="204">
        <f t="shared" si="7"/>
        <v>0.3984010898462419</v>
      </c>
    </row>
    <row r="108" spans="1:3" ht="13.5" thickBot="1">
      <c r="A108" s="203">
        <f t="shared" si="8"/>
        <v>44488</v>
      </c>
      <c r="B108" s="361">
        <f t="shared" si="6"/>
        <v>103</v>
      </c>
      <c r="C108" s="204">
        <f t="shared" si="7"/>
        <v>0.1361666490962463</v>
      </c>
    </row>
    <row r="109" spans="1:3" ht="13.5" thickBot="1">
      <c r="A109" s="197">
        <f t="shared" si="8"/>
        <v>44489</v>
      </c>
      <c r="B109" s="359">
        <f t="shared" si="6"/>
        <v>104</v>
      </c>
      <c r="C109" s="198">
        <f t="shared" si="7"/>
        <v>-0.13616664909624412</v>
      </c>
    </row>
    <row r="110" spans="1:3" ht="12.75">
      <c r="A110" s="203">
        <f t="shared" si="8"/>
        <v>44490</v>
      </c>
      <c r="B110" s="361">
        <f t="shared" si="6"/>
        <v>105</v>
      </c>
      <c r="C110" s="204">
        <f t="shared" si="7"/>
        <v>-0.39840108984623984</v>
      </c>
    </row>
    <row r="111" spans="1:3" ht="12.75">
      <c r="A111" s="203">
        <f t="shared" si="8"/>
        <v>44491</v>
      </c>
      <c r="B111" s="361">
        <f t="shared" si="6"/>
        <v>106</v>
      </c>
      <c r="C111" s="204">
        <f t="shared" si="7"/>
        <v>-0.6310879443260521</v>
      </c>
    </row>
    <row r="112" spans="1:3" ht="12.75">
      <c r="A112" s="203">
        <f t="shared" si="8"/>
        <v>44492</v>
      </c>
      <c r="B112" s="361">
        <f t="shared" si="6"/>
        <v>107</v>
      </c>
      <c r="C112" s="204">
        <f t="shared" si="7"/>
        <v>-0.8169698930104419</v>
      </c>
    </row>
    <row r="113" spans="1:3" ht="12.75">
      <c r="A113" s="203">
        <f t="shared" si="8"/>
        <v>44493</v>
      </c>
      <c r="B113" s="361">
        <f t="shared" si="6"/>
        <v>108</v>
      </c>
      <c r="C113" s="204">
        <f t="shared" si="7"/>
        <v>-0.9422609221188207</v>
      </c>
    </row>
    <row r="114" spans="1:3" ht="12.75">
      <c r="A114" s="203">
        <f t="shared" si="8"/>
        <v>44494</v>
      </c>
      <c r="B114" s="361">
        <f t="shared" si="6"/>
        <v>109</v>
      </c>
      <c r="C114" s="204">
        <f t="shared" si="7"/>
        <v>-0.997668769190539</v>
      </c>
    </row>
    <row r="115" spans="1:3" ht="12.75">
      <c r="A115" s="203">
        <f t="shared" si="8"/>
        <v>44495</v>
      </c>
      <c r="B115" s="361">
        <f t="shared" si="6"/>
        <v>110</v>
      </c>
      <c r="C115" s="204">
        <f t="shared" si="7"/>
        <v>-0.9790840876823231</v>
      </c>
    </row>
    <row r="116" spans="1:3" ht="12.75">
      <c r="A116" s="203">
        <f t="shared" si="8"/>
        <v>44496</v>
      </c>
      <c r="B116" s="361">
        <f t="shared" si="6"/>
        <v>111</v>
      </c>
      <c r="C116" s="204">
        <f t="shared" si="7"/>
        <v>-0.8878852184023756</v>
      </c>
    </row>
    <row r="117" spans="1:3" ht="12.75">
      <c r="A117" s="193">
        <f t="shared" si="8"/>
        <v>44497</v>
      </c>
      <c r="B117" s="358">
        <f t="shared" si="6"/>
        <v>112</v>
      </c>
      <c r="C117" s="194">
        <f t="shared" si="7"/>
        <v>-0.730835964278124</v>
      </c>
    </row>
    <row r="118" spans="1:3" ht="12.75">
      <c r="A118" s="203">
        <f t="shared" si="8"/>
        <v>44498</v>
      </c>
      <c r="B118" s="361">
        <f t="shared" si="6"/>
        <v>113</v>
      </c>
      <c r="C118" s="204">
        <f t="shared" si="7"/>
        <v>-0.5195839500354359</v>
      </c>
    </row>
    <row r="119" spans="1:3" ht="12.75">
      <c r="A119" s="203">
        <f t="shared" si="8"/>
        <v>44499</v>
      </c>
      <c r="B119" s="361">
        <f t="shared" si="6"/>
        <v>114</v>
      </c>
      <c r="C119" s="204">
        <f t="shared" si="7"/>
        <v>-0.26979677115702616</v>
      </c>
    </row>
    <row r="120" spans="1:3" ht="12.75">
      <c r="A120" s="200">
        <f t="shared" si="8"/>
        <v>44500</v>
      </c>
      <c r="B120" s="360">
        <f t="shared" si="6"/>
        <v>115</v>
      </c>
      <c r="C120" s="201">
        <f t="shared" si="7"/>
        <v>-1.22514845490862E-15</v>
      </c>
    </row>
    <row r="121" spans="1:3" ht="12.75">
      <c r="A121" s="203">
        <f t="shared" si="8"/>
        <v>44501</v>
      </c>
      <c r="B121" s="361">
        <f t="shared" si="6"/>
        <v>116</v>
      </c>
      <c r="C121" s="204">
        <f t="shared" si="7"/>
        <v>0.26979677115702383</v>
      </c>
    </row>
    <row r="122" spans="1:3" ht="12.75">
      <c r="A122" s="203">
        <f t="shared" si="8"/>
        <v>44502</v>
      </c>
      <c r="B122" s="361">
        <f t="shared" si="6"/>
        <v>117</v>
      </c>
      <c r="C122" s="204">
        <f t="shared" si="7"/>
        <v>0.5195839500354338</v>
      </c>
    </row>
    <row r="123" spans="1:3" ht="12.75">
      <c r="A123" s="203">
        <f t="shared" si="8"/>
        <v>44503</v>
      </c>
      <c r="B123" s="361">
        <f t="shared" si="6"/>
        <v>118</v>
      </c>
      <c r="C123" s="204">
        <f t="shared" si="7"/>
        <v>0.7308359642781224</v>
      </c>
    </row>
    <row r="124" spans="1:3" ht="12.75">
      <c r="A124" s="203">
        <f t="shared" si="8"/>
        <v>44504</v>
      </c>
      <c r="B124" s="361">
        <f t="shared" si="6"/>
        <v>119</v>
      </c>
      <c r="C124" s="204">
        <f t="shared" si="7"/>
        <v>0.8878852184023728</v>
      </c>
    </row>
    <row r="125" spans="1:3" ht="12.75">
      <c r="A125" s="203">
        <f t="shared" si="8"/>
        <v>44505</v>
      </c>
      <c r="B125" s="361">
        <f t="shared" si="6"/>
        <v>120</v>
      </c>
      <c r="C125" s="204">
        <f t="shared" si="7"/>
        <v>0.9790840876823227</v>
      </c>
    </row>
    <row r="126" spans="1:3" ht="12.75">
      <c r="A126" s="203">
        <f t="shared" si="8"/>
        <v>44506</v>
      </c>
      <c r="B126" s="361">
        <f t="shared" si="6"/>
        <v>121</v>
      </c>
      <c r="C126" s="204">
        <f t="shared" si="7"/>
        <v>0.9976687691905389</v>
      </c>
    </row>
    <row r="127" spans="1:3" ht="12.75">
      <c r="A127" s="203">
        <f t="shared" si="8"/>
        <v>44507</v>
      </c>
      <c r="B127" s="361">
        <f t="shared" si="6"/>
        <v>122</v>
      </c>
      <c r="C127" s="204">
        <f t="shared" si="7"/>
        <v>0.9422609221188227</v>
      </c>
    </row>
    <row r="128" spans="1:3" ht="12.75">
      <c r="A128" s="203">
        <f t="shared" si="8"/>
        <v>44508</v>
      </c>
      <c r="B128" s="361">
        <f t="shared" si="6"/>
        <v>123</v>
      </c>
      <c r="C128" s="204">
        <f t="shared" si="7"/>
        <v>0.8169698930104433</v>
      </c>
    </row>
    <row r="129" spans="1:3" ht="12.75">
      <c r="A129" s="193">
        <f aca="true" t="shared" si="9" ref="A129:A140">A128+1</f>
        <v>44509</v>
      </c>
      <c r="B129" s="358">
        <f t="shared" si="6"/>
        <v>124</v>
      </c>
      <c r="C129" s="194">
        <f t="shared" si="7"/>
        <v>0.6310879443260566</v>
      </c>
    </row>
    <row r="130" spans="1:3" ht="12.75">
      <c r="A130" s="203">
        <f t="shared" si="9"/>
        <v>44510</v>
      </c>
      <c r="B130" s="361">
        <f t="shared" si="6"/>
        <v>125</v>
      </c>
      <c r="C130" s="204">
        <f t="shared" si="7"/>
        <v>0.3984010898462421</v>
      </c>
    </row>
    <row r="131" spans="1:3" ht="13.5" thickBot="1">
      <c r="A131" s="203">
        <f t="shared" si="9"/>
        <v>44511</v>
      </c>
      <c r="B131" s="361">
        <f t="shared" si="6"/>
        <v>126</v>
      </c>
      <c r="C131" s="204">
        <f t="shared" si="7"/>
        <v>0.13616664909624301</v>
      </c>
    </row>
    <row r="132" spans="1:3" ht="13.5" thickBot="1">
      <c r="A132" s="197">
        <f t="shared" si="9"/>
        <v>44512</v>
      </c>
      <c r="B132" s="359">
        <f t="shared" si="6"/>
        <v>127</v>
      </c>
      <c r="C132" s="198">
        <f t="shared" si="7"/>
        <v>-0.13616664909624035</v>
      </c>
    </row>
    <row r="133" spans="1:3" ht="12.75">
      <c r="A133" s="203">
        <f t="shared" si="9"/>
        <v>44513</v>
      </c>
      <c r="B133" s="361">
        <f t="shared" si="6"/>
        <v>128</v>
      </c>
      <c r="C133" s="204">
        <f t="shared" si="7"/>
        <v>-0.3984010898462396</v>
      </c>
    </row>
    <row r="134" spans="1:3" ht="12.75">
      <c r="A134" s="203">
        <f t="shared" si="9"/>
        <v>44514</v>
      </c>
      <c r="B134" s="361">
        <f t="shared" si="6"/>
        <v>129</v>
      </c>
      <c r="C134" s="204">
        <f t="shared" si="7"/>
        <v>-0.6310879443260546</v>
      </c>
    </row>
    <row r="135" spans="1:3" ht="12.75">
      <c r="A135" s="203">
        <f t="shared" si="9"/>
        <v>44515</v>
      </c>
      <c r="B135" s="361">
        <f t="shared" si="6"/>
        <v>130</v>
      </c>
      <c r="C135" s="204">
        <f t="shared" si="7"/>
        <v>-0.8169698930104418</v>
      </c>
    </row>
    <row r="136" spans="1:3" ht="12.75">
      <c r="A136" s="203">
        <f t="shared" si="9"/>
        <v>44516</v>
      </c>
      <c r="B136" s="361">
        <f t="shared" si="6"/>
        <v>131</v>
      </c>
      <c r="C136" s="204">
        <f t="shared" si="7"/>
        <v>-0.9422609221188218</v>
      </c>
    </row>
    <row r="137" spans="1:3" ht="12.75">
      <c r="A137" s="203">
        <f t="shared" si="9"/>
        <v>44517</v>
      </c>
      <c r="B137" s="361">
        <f t="shared" si="6"/>
        <v>132</v>
      </c>
      <c r="C137" s="204">
        <f t="shared" si="7"/>
        <v>-0.9976687691905388</v>
      </c>
    </row>
    <row r="138" spans="1:3" ht="12.75">
      <c r="A138" s="203">
        <f t="shared" si="9"/>
        <v>44518</v>
      </c>
      <c r="B138" s="361">
        <f t="shared" si="6"/>
        <v>133</v>
      </c>
      <c r="C138" s="204">
        <f t="shared" si="7"/>
        <v>-0.9790840876823232</v>
      </c>
    </row>
    <row r="139" spans="1:3" ht="12.75">
      <c r="A139" s="203">
        <f t="shared" si="9"/>
        <v>44519</v>
      </c>
      <c r="B139" s="361">
        <f>A139-$B$3</f>
        <v>134</v>
      </c>
      <c r="C139" s="204">
        <f>SIN(2*PI()*(B139/$C$6))</f>
        <v>-0.887885218402374</v>
      </c>
    </row>
    <row r="140" spans="1:3" ht="12.75">
      <c r="A140" s="193">
        <f t="shared" si="9"/>
        <v>44520</v>
      </c>
      <c r="B140" s="358">
        <f t="shared" si="6"/>
        <v>135</v>
      </c>
      <c r="C140" s="194">
        <f t="shared" si="7"/>
        <v>-0.7308359642781243</v>
      </c>
    </row>
    <row r="141" spans="1:3" ht="12.75">
      <c r="A141" s="203">
        <f aca="true" t="shared" si="10" ref="A141:A165">A140+1</f>
        <v>44521</v>
      </c>
      <c r="B141" s="361">
        <f aca="true" t="shared" si="11" ref="B141:B204">A141-$B$3</f>
        <v>136</v>
      </c>
      <c r="C141" s="204">
        <f aca="true" t="shared" si="12" ref="C141:C204">SIN(2*PI()*(B141/$C$6))</f>
        <v>-0.5195839500354361</v>
      </c>
    </row>
    <row r="142" spans="1:3" ht="12.75">
      <c r="A142" s="203">
        <f t="shared" si="10"/>
        <v>44522</v>
      </c>
      <c r="B142" s="361">
        <f t="shared" si="11"/>
        <v>137</v>
      </c>
      <c r="C142" s="204">
        <f t="shared" si="12"/>
        <v>-0.2697967711570298</v>
      </c>
    </row>
    <row r="143" spans="1:3" ht="12.75">
      <c r="A143" s="200">
        <f t="shared" si="10"/>
        <v>44523</v>
      </c>
      <c r="B143" s="360">
        <f t="shared" si="11"/>
        <v>138</v>
      </c>
      <c r="C143" s="201">
        <f t="shared" si="12"/>
        <v>-1.470178145890344E-15</v>
      </c>
    </row>
    <row r="144" spans="1:3" ht="12.75">
      <c r="A144" s="203">
        <f t="shared" si="10"/>
        <v>44524</v>
      </c>
      <c r="B144" s="361">
        <f t="shared" si="11"/>
        <v>139</v>
      </c>
      <c r="C144" s="204">
        <f t="shared" si="12"/>
        <v>0.269796771157027</v>
      </c>
    </row>
    <row r="145" spans="1:3" ht="12.75">
      <c r="A145" s="203">
        <f t="shared" si="10"/>
        <v>44525</v>
      </c>
      <c r="B145" s="361">
        <f t="shared" si="11"/>
        <v>140</v>
      </c>
      <c r="C145" s="204">
        <f t="shared" si="12"/>
        <v>0.5195839500354337</v>
      </c>
    </row>
    <row r="146" spans="1:3" ht="12.75">
      <c r="A146" s="203">
        <f t="shared" si="10"/>
        <v>44526</v>
      </c>
      <c r="B146" s="361">
        <f t="shared" si="11"/>
        <v>141</v>
      </c>
      <c r="C146" s="204">
        <f t="shared" si="12"/>
        <v>0.7308359642781223</v>
      </c>
    </row>
    <row r="147" spans="1:3" ht="12.75">
      <c r="A147" s="203">
        <f t="shared" si="10"/>
        <v>44527</v>
      </c>
      <c r="B147" s="361">
        <f t="shared" si="11"/>
        <v>142</v>
      </c>
      <c r="C147" s="204">
        <f t="shared" si="12"/>
        <v>0.8878852184023727</v>
      </c>
    </row>
    <row r="148" spans="1:3" ht="12.75">
      <c r="A148" s="203">
        <f t="shared" si="10"/>
        <v>44528</v>
      </c>
      <c r="B148" s="361">
        <f t="shared" si="11"/>
        <v>143</v>
      </c>
      <c r="C148" s="204">
        <f t="shared" si="12"/>
        <v>0.9790840876823226</v>
      </c>
    </row>
    <row r="149" spans="1:3" ht="12.75">
      <c r="A149" s="203">
        <f t="shared" si="10"/>
        <v>44529</v>
      </c>
      <c r="B149" s="361">
        <f t="shared" si="11"/>
        <v>144</v>
      </c>
      <c r="C149" s="204">
        <f t="shared" si="12"/>
        <v>0.997668769190539</v>
      </c>
    </row>
    <row r="150" spans="1:3" ht="12.75">
      <c r="A150" s="203">
        <f t="shared" si="10"/>
        <v>44530</v>
      </c>
      <c r="B150" s="361">
        <f t="shared" si="11"/>
        <v>145</v>
      </c>
      <c r="C150" s="204">
        <f t="shared" si="12"/>
        <v>0.9422609221188227</v>
      </c>
    </row>
    <row r="151" spans="1:3" ht="12.75">
      <c r="A151" s="203">
        <f t="shared" si="10"/>
        <v>44531</v>
      </c>
      <c r="B151" s="361">
        <f t="shared" si="11"/>
        <v>146</v>
      </c>
      <c r="C151" s="204">
        <f t="shared" si="12"/>
        <v>0.8169698930104434</v>
      </c>
    </row>
    <row r="152" spans="1:3" ht="12.75">
      <c r="A152" s="193">
        <f t="shared" si="10"/>
        <v>44532</v>
      </c>
      <c r="B152" s="358">
        <f t="shared" si="11"/>
        <v>147</v>
      </c>
      <c r="C152" s="194">
        <f t="shared" si="12"/>
        <v>0.6310879443260569</v>
      </c>
    </row>
    <row r="153" spans="1:3" ht="12.75">
      <c r="A153" s="203">
        <f t="shared" si="10"/>
        <v>44533</v>
      </c>
      <c r="B153" s="361">
        <f t="shared" si="11"/>
        <v>148</v>
      </c>
      <c r="C153" s="204">
        <f t="shared" si="12"/>
        <v>0.39840108984624234</v>
      </c>
    </row>
    <row r="154" spans="1:3" ht="13.5" thickBot="1">
      <c r="A154" s="203">
        <f t="shared" si="10"/>
        <v>44534</v>
      </c>
      <c r="B154" s="361">
        <f t="shared" si="11"/>
        <v>149</v>
      </c>
      <c r="C154" s="204">
        <f t="shared" si="12"/>
        <v>0.13616664909624326</v>
      </c>
    </row>
    <row r="155" spans="1:3" ht="13.5" thickBot="1">
      <c r="A155" s="197">
        <f t="shared" si="10"/>
        <v>44535</v>
      </c>
      <c r="B155" s="359">
        <f t="shared" si="11"/>
        <v>150</v>
      </c>
      <c r="C155" s="198">
        <f t="shared" si="12"/>
        <v>-0.1361666490962401</v>
      </c>
    </row>
    <row r="156" spans="1:3" ht="12.75">
      <c r="A156" s="203">
        <f t="shared" si="10"/>
        <v>44536</v>
      </c>
      <c r="B156" s="361">
        <f t="shared" si="11"/>
        <v>151</v>
      </c>
      <c r="C156" s="204">
        <f t="shared" si="12"/>
        <v>-0.3984010898462394</v>
      </c>
    </row>
    <row r="157" spans="1:3" ht="12.75">
      <c r="A157" s="203">
        <f t="shared" si="10"/>
        <v>44537</v>
      </c>
      <c r="B157" s="361">
        <f t="shared" si="11"/>
        <v>152</v>
      </c>
      <c r="C157" s="204">
        <f t="shared" si="12"/>
        <v>-0.6310879443260544</v>
      </c>
    </row>
    <row r="158" spans="1:3" ht="12.75">
      <c r="A158" s="203">
        <f t="shared" si="10"/>
        <v>44538</v>
      </c>
      <c r="B158" s="361">
        <f t="shared" si="11"/>
        <v>153</v>
      </c>
      <c r="C158" s="204">
        <f t="shared" si="12"/>
        <v>-0.8169698930104417</v>
      </c>
    </row>
    <row r="159" spans="1:3" ht="12.75">
      <c r="A159" s="203">
        <f t="shared" si="10"/>
        <v>44539</v>
      </c>
      <c r="B159" s="361">
        <f t="shared" si="11"/>
        <v>154</v>
      </c>
      <c r="C159" s="204">
        <f t="shared" si="12"/>
        <v>-0.9422609221188217</v>
      </c>
    </row>
    <row r="160" spans="1:3" ht="12.75">
      <c r="A160" s="203">
        <f t="shared" si="10"/>
        <v>44540</v>
      </c>
      <c r="B160" s="361">
        <f t="shared" si="11"/>
        <v>155</v>
      </c>
      <c r="C160" s="204">
        <f t="shared" si="12"/>
        <v>-0.9976687691905388</v>
      </c>
    </row>
    <row r="161" spans="1:3" ht="12.75">
      <c r="A161" s="203">
        <f t="shared" si="10"/>
        <v>44541</v>
      </c>
      <c r="B161" s="361">
        <f t="shared" si="11"/>
        <v>156</v>
      </c>
      <c r="C161" s="204">
        <f t="shared" si="12"/>
        <v>-0.9790840876823232</v>
      </c>
    </row>
    <row r="162" spans="1:3" ht="12.75">
      <c r="A162" s="203">
        <f t="shared" si="10"/>
        <v>44542</v>
      </c>
      <c r="B162" s="361">
        <f t="shared" si="11"/>
        <v>157</v>
      </c>
      <c r="C162" s="204">
        <f t="shared" si="12"/>
        <v>-0.8878852184023741</v>
      </c>
    </row>
    <row r="163" spans="1:3" ht="12.75">
      <c r="A163" s="193">
        <f t="shared" si="10"/>
        <v>44543</v>
      </c>
      <c r="B163" s="358">
        <f t="shared" si="11"/>
        <v>158</v>
      </c>
      <c r="C163" s="194">
        <f t="shared" si="12"/>
        <v>-0.7308359642781244</v>
      </c>
    </row>
    <row r="164" spans="1:3" ht="12.75">
      <c r="A164" s="203">
        <f t="shared" si="10"/>
        <v>44544</v>
      </c>
      <c r="B164" s="361">
        <f t="shared" si="11"/>
        <v>159</v>
      </c>
      <c r="C164" s="204">
        <f t="shared" si="12"/>
        <v>-0.5195839500354363</v>
      </c>
    </row>
    <row r="165" spans="1:3" ht="12.75">
      <c r="A165" s="203">
        <f t="shared" si="10"/>
        <v>44545</v>
      </c>
      <c r="B165" s="361">
        <f t="shared" si="11"/>
        <v>160</v>
      </c>
      <c r="C165" s="204">
        <f t="shared" si="12"/>
        <v>-0.2697967711570301</v>
      </c>
    </row>
    <row r="166" spans="1:3" ht="12.75">
      <c r="A166" s="200">
        <f aca="true" t="shared" si="13" ref="A166:A229">A165+1</f>
        <v>44546</v>
      </c>
      <c r="B166" s="360">
        <f t="shared" si="11"/>
        <v>161</v>
      </c>
      <c r="C166" s="201">
        <f t="shared" si="12"/>
        <v>-1.715207836872068E-15</v>
      </c>
    </row>
    <row r="167" spans="1:3" ht="12.75">
      <c r="A167" s="203">
        <f t="shared" si="13"/>
        <v>44547</v>
      </c>
      <c r="B167" s="361">
        <f t="shared" si="11"/>
        <v>162</v>
      </c>
      <c r="C167" s="204">
        <f t="shared" si="12"/>
        <v>0.26979677115702677</v>
      </c>
    </row>
    <row r="168" spans="1:3" ht="12.75">
      <c r="A168" s="203">
        <f t="shared" si="13"/>
        <v>44548</v>
      </c>
      <c r="B168" s="361">
        <f t="shared" si="11"/>
        <v>163</v>
      </c>
      <c r="C168" s="204">
        <f t="shared" si="12"/>
        <v>0.5195839500354335</v>
      </c>
    </row>
    <row r="169" spans="1:3" ht="12.75">
      <c r="A169" s="203">
        <f t="shared" si="13"/>
        <v>44549</v>
      </c>
      <c r="B169" s="361">
        <f t="shared" si="11"/>
        <v>164</v>
      </c>
      <c r="C169" s="204">
        <f t="shared" si="12"/>
        <v>0.730835964278122</v>
      </c>
    </row>
    <row r="170" spans="1:3" ht="12.75">
      <c r="A170" s="203">
        <f t="shared" si="13"/>
        <v>44550</v>
      </c>
      <c r="B170" s="361">
        <f t="shared" si="11"/>
        <v>165</v>
      </c>
      <c r="C170" s="204">
        <f t="shared" si="12"/>
        <v>0.8878852184023726</v>
      </c>
    </row>
    <row r="171" spans="1:3" ht="12.75">
      <c r="A171" s="203">
        <f t="shared" si="13"/>
        <v>44551</v>
      </c>
      <c r="B171" s="361">
        <f t="shared" si="11"/>
        <v>166</v>
      </c>
      <c r="C171" s="204">
        <f t="shared" si="12"/>
        <v>0.9790840876823226</v>
      </c>
    </row>
    <row r="172" spans="1:3" ht="12.75">
      <c r="A172" s="203">
        <f t="shared" si="13"/>
        <v>44552</v>
      </c>
      <c r="B172" s="361">
        <f t="shared" si="11"/>
        <v>167</v>
      </c>
      <c r="C172" s="204">
        <f t="shared" si="12"/>
        <v>0.997668769190539</v>
      </c>
    </row>
    <row r="173" spans="1:3" ht="12.75">
      <c r="A173" s="203">
        <f t="shared" si="13"/>
        <v>44553</v>
      </c>
      <c r="B173" s="361">
        <f t="shared" si="11"/>
        <v>168</v>
      </c>
      <c r="C173" s="204">
        <f t="shared" si="12"/>
        <v>0.9422609221188228</v>
      </c>
    </row>
    <row r="174" spans="1:3" ht="12.75">
      <c r="A174" s="203">
        <f t="shared" si="13"/>
        <v>44554</v>
      </c>
      <c r="B174" s="361">
        <f t="shared" si="11"/>
        <v>169</v>
      </c>
      <c r="C174" s="204">
        <f t="shared" si="12"/>
        <v>0.8169698930104435</v>
      </c>
    </row>
    <row r="175" spans="1:3" ht="12.75">
      <c r="A175" s="193">
        <f t="shared" si="13"/>
        <v>44555</v>
      </c>
      <c r="B175" s="358">
        <f t="shared" si="11"/>
        <v>170</v>
      </c>
      <c r="C175" s="194">
        <f t="shared" si="12"/>
        <v>0.6310879443260571</v>
      </c>
    </row>
    <row r="176" spans="1:3" ht="12.75">
      <c r="A176" s="203">
        <f t="shared" si="13"/>
        <v>44556</v>
      </c>
      <c r="B176" s="361">
        <f t="shared" si="11"/>
        <v>171</v>
      </c>
      <c r="C176" s="204">
        <f t="shared" si="12"/>
        <v>0.39840108984624256</v>
      </c>
    </row>
    <row r="177" spans="1:3" ht="13.5" thickBot="1">
      <c r="A177" s="203">
        <f t="shared" si="13"/>
        <v>44557</v>
      </c>
      <c r="B177" s="361">
        <f t="shared" si="11"/>
        <v>172</v>
      </c>
      <c r="C177" s="204">
        <f t="shared" si="12"/>
        <v>0.1361666490962435</v>
      </c>
    </row>
    <row r="178" spans="1:3" ht="13.5" thickBot="1">
      <c r="A178" s="197">
        <f t="shared" si="13"/>
        <v>44558</v>
      </c>
      <c r="B178" s="359">
        <f t="shared" si="11"/>
        <v>173</v>
      </c>
      <c r="C178" s="198">
        <f t="shared" si="12"/>
        <v>-0.13616664909623988</v>
      </c>
    </row>
    <row r="179" spans="1:3" ht="12.75">
      <c r="A179" s="203">
        <f t="shared" si="13"/>
        <v>44559</v>
      </c>
      <c r="B179" s="361">
        <f t="shared" si="11"/>
        <v>174</v>
      </c>
      <c r="C179" s="204">
        <f t="shared" si="12"/>
        <v>-0.3984010898462392</v>
      </c>
    </row>
    <row r="180" spans="1:3" ht="12.75">
      <c r="A180" s="203">
        <f t="shared" si="13"/>
        <v>44560</v>
      </c>
      <c r="B180" s="361">
        <f t="shared" si="11"/>
        <v>175</v>
      </c>
      <c r="C180" s="204">
        <f t="shared" si="12"/>
        <v>-0.6310879443260542</v>
      </c>
    </row>
    <row r="181" spans="1:3" ht="12.75">
      <c r="A181" s="203">
        <f t="shared" si="13"/>
        <v>44561</v>
      </c>
      <c r="B181" s="361">
        <f t="shared" si="11"/>
        <v>176</v>
      </c>
      <c r="C181" s="204">
        <f t="shared" si="12"/>
        <v>-0.8169698930104414</v>
      </c>
    </row>
    <row r="182" spans="1:3" ht="12.75">
      <c r="A182" s="203">
        <f t="shared" si="13"/>
        <v>44562</v>
      </c>
      <c r="B182" s="361">
        <f t="shared" si="11"/>
        <v>177</v>
      </c>
      <c r="C182" s="204">
        <f t="shared" si="12"/>
        <v>-0.9422609221188216</v>
      </c>
    </row>
    <row r="183" spans="1:3" ht="12.75">
      <c r="A183" s="203">
        <f t="shared" si="13"/>
        <v>44563</v>
      </c>
      <c r="B183" s="361">
        <f t="shared" si="11"/>
        <v>178</v>
      </c>
      <c r="C183" s="204">
        <f t="shared" si="12"/>
        <v>-0.9976687691905387</v>
      </c>
    </row>
    <row r="184" spans="1:3" ht="12.75">
      <c r="A184" s="203">
        <f t="shared" si="13"/>
        <v>44564</v>
      </c>
      <c r="B184" s="361">
        <f t="shared" si="11"/>
        <v>179</v>
      </c>
      <c r="C184" s="204">
        <f t="shared" si="12"/>
        <v>-0.9790840876823234</v>
      </c>
    </row>
    <row r="185" spans="1:3" ht="12.75">
      <c r="A185" s="203">
        <f t="shared" si="13"/>
        <v>44565</v>
      </c>
      <c r="B185" s="361">
        <f t="shared" si="11"/>
        <v>180</v>
      </c>
      <c r="C185" s="204">
        <f t="shared" si="12"/>
        <v>-0.8878852184023742</v>
      </c>
    </row>
    <row r="186" spans="1:3" ht="12.75">
      <c r="A186" s="193">
        <f t="shared" si="13"/>
        <v>44566</v>
      </c>
      <c r="B186" s="358">
        <f t="shared" si="11"/>
        <v>181</v>
      </c>
      <c r="C186" s="194">
        <f t="shared" si="12"/>
        <v>-0.7308359642781246</v>
      </c>
    </row>
    <row r="187" spans="1:3" ht="12.75">
      <c r="A187" s="203">
        <f t="shared" si="13"/>
        <v>44567</v>
      </c>
      <c r="B187" s="361">
        <f t="shared" si="11"/>
        <v>182</v>
      </c>
      <c r="C187" s="204">
        <f t="shared" si="12"/>
        <v>-0.5195839500354366</v>
      </c>
    </row>
    <row r="188" spans="1:3" ht="12.75">
      <c r="A188" s="203">
        <f t="shared" si="13"/>
        <v>44568</v>
      </c>
      <c r="B188" s="361">
        <f t="shared" si="11"/>
        <v>183</v>
      </c>
      <c r="C188" s="204">
        <f t="shared" si="12"/>
        <v>-0.2697967711570303</v>
      </c>
    </row>
    <row r="189" spans="1:3" ht="12.75">
      <c r="A189" s="200">
        <f t="shared" si="13"/>
        <v>44569</v>
      </c>
      <c r="B189" s="360">
        <f t="shared" si="11"/>
        <v>184</v>
      </c>
      <c r="C189" s="201">
        <f t="shared" si="12"/>
        <v>-1.960237527853792E-15</v>
      </c>
    </row>
    <row r="190" spans="1:3" ht="12.75">
      <c r="A190" s="203">
        <f t="shared" si="13"/>
        <v>44570</v>
      </c>
      <c r="B190" s="361">
        <f t="shared" si="11"/>
        <v>185</v>
      </c>
      <c r="C190" s="204">
        <f t="shared" si="12"/>
        <v>0.2697967711570197</v>
      </c>
    </row>
    <row r="191" spans="1:3" ht="12.75">
      <c r="A191" s="203">
        <f t="shared" si="13"/>
        <v>44571</v>
      </c>
      <c r="B191" s="361">
        <f t="shared" si="11"/>
        <v>186</v>
      </c>
      <c r="C191" s="204">
        <f t="shared" si="12"/>
        <v>0.5195839500354332</v>
      </c>
    </row>
    <row r="192" spans="1:3" ht="12.75">
      <c r="A192" s="203">
        <f t="shared" si="13"/>
        <v>44572</v>
      </c>
      <c r="B192" s="361">
        <f t="shared" si="11"/>
        <v>187</v>
      </c>
      <c r="C192" s="204">
        <f t="shared" si="12"/>
        <v>0.7308359642781219</v>
      </c>
    </row>
    <row r="193" spans="1:3" ht="12.75">
      <c r="A193" s="203">
        <f t="shared" si="13"/>
        <v>44573</v>
      </c>
      <c r="B193" s="361">
        <f t="shared" si="11"/>
        <v>188</v>
      </c>
      <c r="C193" s="204">
        <f t="shared" si="12"/>
        <v>0.8878852184023758</v>
      </c>
    </row>
    <row r="194" spans="1:3" ht="12.75">
      <c r="A194" s="203">
        <f t="shared" si="13"/>
        <v>44574</v>
      </c>
      <c r="B194" s="361">
        <f t="shared" si="11"/>
        <v>189</v>
      </c>
      <c r="C194" s="204">
        <f t="shared" si="12"/>
        <v>0.9790840876823226</v>
      </c>
    </row>
    <row r="195" spans="1:3" ht="12.75">
      <c r="A195" s="203">
        <f t="shared" si="13"/>
        <v>44575</v>
      </c>
      <c r="B195" s="361">
        <f t="shared" si="11"/>
        <v>190</v>
      </c>
      <c r="C195" s="204">
        <f t="shared" si="12"/>
        <v>0.9976687691905395</v>
      </c>
    </row>
    <row r="196" spans="1:3" ht="12.75">
      <c r="A196" s="203">
        <f t="shared" si="13"/>
        <v>44576</v>
      </c>
      <c r="B196" s="361">
        <f t="shared" si="11"/>
        <v>191</v>
      </c>
      <c r="C196" s="204">
        <f t="shared" si="12"/>
        <v>0.9422609221188205</v>
      </c>
    </row>
    <row r="197" spans="1:3" ht="12.75">
      <c r="A197" s="203">
        <f t="shared" si="13"/>
        <v>44577</v>
      </c>
      <c r="B197" s="361">
        <f t="shared" si="11"/>
        <v>192</v>
      </c>
      <c r="C197" s="204">
        <f t="shared" si="12"/>
        <v>0.8169698930104438</v>
      </c>
    </row>
    <row r="198" spans="1:3" ht="12.75">
      <c r="A198" s="193">
        <f t="shared" si="13"/>
        <v>44578</v>
      </c>
      <c r="B198" s="358">
        <f t="shared" si="11"/>
        <v>193</v>
      </c>
      <c r="C198" s="194">
        <f t="shared" si="12"/>
        <v>0.6310879443260518</v>
      </c>
    </row>
    <row r="199" spans="1:3" ht="12.75">
      <c r="A199" s="203">
        <f t="shared" si="13"/>
        <v>44579</v>
      </c>
      <c r="B199" s="361">
        <f t="shared" si="11"/>
        <v>194</v>
      </c>
      <c r="C199" s="204">
        <f t="shared" si="12"/>
        <v>0.3984010898462428</v>
      </c>
    </row>
    <row r="200" spans="1:3" ht="13.5" thickBot="1">
      <c r="A200" s="203">
        <f t="shared" si="13"/>
        <v>44580</v>
      </c>
      <c r="B200" s="361">
        <f t="shared" si="11"/>
        <v>195</v>
      </c>
      <c r="C200" s="204">
        <f t="shared" si="12"/>
        <v>0.13616664909625079</v>
      </c>
    </row>
    <row r="201" spans="1:3" ht="13.5" thickBot="1">
      <c r="A201" s="197">
        <f t="shared" si="13"/>
        <v>44581</v>
      </c>
      <c r="B201" s="359">
        <f t="shared" si="11"/>
        <v>196</v>
      </c>
      <c r="C201" s="198">
        <f t="shared" si="12"/>
        <v>-0.13616664909624668</v>
      </c>
    </row>
    <row r="202" spans="1:3" ht="12.75">
      <c r="A202" s="203">
        <f t="shared" si="13"/>
        <v>44582</v>
      </c>
      <c r="B202" s="361">
        <f t="shared" si="11"/>
        <v>197</v>
      </c>
      <c r="C202" s="204">
        <f t="shared" si="12"/>
        <v>-0.39840108984623895</v>
      </c>
    </row>
    <row r="203" spans="1:3" ht="12.75">
      <c r="A203" s="203">
        <f t="shared" si="13"/>
        <v>44583</v>
      </c>
      <c r="B203" s="361">
        <f t="shared" si="11"/>
        <v>198</v>
      </c>
      <c r="C203" s="204">
        <f t="shared" si="12"/>
        <v>-0.6310879443260485</v>
      </c>
    </row>
    <row r="204" spans="1:3" ht="12.75">
      <c r="A204" s="203">
        <f t="shared" si="13"/>
        <v>44584</v>
      </c>
      <c r="B204" s="361">
        <f t="shared" si="11"/>
        <v>199</v>
      </c>
      <c r="C204" s="204">
        <f t="shared" si="12"/>
        <v>-0.8169698930104413</v>
      </c>
    </row>
    <row r="205" spans="1:3" ht="12.75">
      <c r="A205" s="203">
        <f t="shared" si="13"/>
        <v>44585</v>
      </c>
      <c r="B205" s="361">
        <f aca="true" t="shared" si="14" ref="B205:B268">A205-$B$3</f>
        <v>200</v>
      </c>
      <c r="C205" s="204">
        <f aca="true" t="shared" si="15" ref="C205:C268">SIN(2*PI()*(B205/$C$6))</f>
        <v>-0.9422609221188192</v>
      </c>
    </row>
    <row r="206" spans="1:3" ht="12.75">
      <c r="A206" s="203">
        <f t="shared" si="13"/>
        <v>44586</v>
      </c>
      <c r="B206" s="361">
        <f t="shared" si="14"/>
        <v>201</v>
      </c>
      <c r="C206" s="204">
        <f t="shared" si="15"/>
        <v>-0.9976687691905393</v>
      </c>
    </row>
    <row r="207" spans="1:3" ht="12.75">
      <c r="A207" s="203">
        <f t="shared" si="13"/>
        <v>44587</v>
      </c>
      <c r="B207" s="361">
        <f t="shared" si="14"/>
        <v>202</v>
      </c>
      <c r="C207" s="204">
        <f t="shared" si="15"/>
        <v>-0.9790840876823234</v>
      </c>
    </row>
    <row r="208" spans="1:3" ht="12.75">
      <c r="A208" s="203">
        <f t="shared" si="13"/>
        <v>44588</v>
      </c>
      <c r="B208" s="361">
        <f t="shared" si="14"/>
        <v>203</v>
      </c>
      <c r="C208" s="204">
        <f t="shared" si="15"/>
        <v>-0.8878852184023777</v>
      </c>
    </row>
    <row r="209" spans="1:3" ht="12.75">
      <c r="A209" s="193">
        <f t="shared" si="13"/>
        <v>44589</v>
      </c>
      <c r="B209" s="358">
        <f t="shared" si="14"/>
        <v>204</v>
      </c>
      <c r="C209" s="194">
        <f t="shared" si="15"/>
        <v>-0.7308359642781247</v>
      </c>
    </row>
    <row r="210" spans="1:3" ht="12.75">
      <c r="A210" s="203">
        <f t="shared" si="13"/>
        <v>44590</v>
      </c>
      <c r="B210" s="361">
        <f t="shared" si="14"/>
        <v>205</v>
      </c>
      <c r="C210" s="204">
        <f t="shared" si="15"/>
        <v>-0.5195839500354368</v>
      </c>
    </row>
    <row r="211" spans="1:3" ht="12.75">
      <c r="A211" s="203">
        <f t="shared" si="13"/>
        <v>44591</v>
      </c>
      <c r="B211" s="361">
        <f t="shared" si="14"/>
        <v>206</v>
      </c>
      <c r="C211" s="204">
        <f t="shared" si="15"/>
        <v>-0.2697967711570237</v>
      </c>
    </row>
    <row r="212" spans="1:3" ht="12.75">
      <c r="A212" s="200">
        <f t="shared" si="13"/>
        <v>44592</v>
      </c>
      <c r="B212" s="360">
        <f t="shared" si="14"/>
        <v>207</v>
      </c>
      <c r="C212" s="201">
        <f t="shared" si="15"/>
        <v>-2.205267218835516E-15</v>
      </c>
    </row>
    <row r="213" spans="1:3" ht="12.75">
      <c r="A213" s="203">
        <f t="shared" si="13"/>
        <v>44593</v>
      </c>
      <c r="B213" s="361">
        <f t="shared" si="14"/>
        <v>208</v>
      </c>
      <c r="C213" s="204">
        <f t="shared" si="15"/>
        <v>0.26979677115701944</v>
      </c>
    </row>
    <row r="214" spans="1:3" ht="12.75">
      <c r="A214" s="203">
        <f t="shared" si="13"/>
        <v>44594</v>
      </c>
      <c r="B214" s="361">
        <f t="shared" si="14"/>
        <v>209</v>
      </c>
      <c r="C214" s="204">
        <f t="shared" si="15"/>
        <v>0.519583950035433</v>
      </c>
    </row>
    <row r="215" spans="1:3" ht="12.75">
      <c r="A215" s="203">
        <f t="shared" si="13"/>
        <v>44595</v>
      </c>
      <c r="B215" s="361">
        <f t="shared" si="14"/>
        <v>210</v>
      </c>
      <c r="C215" s="204">
        <f t="shared" si="15"/>
        <v>0.7308359642781217</v>
      </c>
    </row>
    <row r="216" spans="1:3" ht="12.75">
      <c r="A216" s="203">
        <f t="shared" si="13"/>
        <v>44596</v>
      </c>
      <c r="B216" s="361">
        <f t="shared" si="14"/>
        <v>211</v>
      </c>
      <c r="C216" s="204">
        <f t="shared" si="15"/>
        <v>0.8878852184023757</v>
      </c>
    </row>
    <row r="217" spans="1:3" ht="12.75">
      <c r="A217" s="203">
        <f t="shared" si="13"/>
        <v>44597</v>
      </c>
      <c r="B217" s="361">
        <f t="shared" si="14"/>
        <v>212</v>
      </c>
      <c r="C217" s="204">
        <f t="shared" si="15"/>
        <v>0.9790840876823225</v>
      </c>
    </row>
    <row r="218" spans="1:3" ht="12.75">
      <c r="A218" s="203">
        <f t="shared" si="13"/>
        <v>44598</v>
      </c>
      <c r="B218" s="361">
        <f t="shared" si="14"/>
        <v>213</v>
      </c>
      <c r="C218" s="204">
        <f t="shared" si="15"/>
        <v>0.9976687691905395</v>
      </c>
    </row>
    <row r="219" spans="1:3" ht="12.75">
      <c r="A219" s="203">
        <f t="shared" si="13"/>
        <v>44599</v>
      </c>
      <c r="B219" s="361">
        <f t="shared" si="14"/>
        <v>214</v>
      </c>
      <c r="C219" s="204">
        <f t="shared" si="15"/>
        <v>0.9422609221188206</v>
      </c>
    </row>
    <row r="220" spans="1:3" ht="12.75">
      <c r="A220" s="203">
        <f t="shared" si="13"/>
        <v>44600</v>
      </c>
      <c r="B220" s="361">
        <f t="shared" si="14"/>
        <v>215</v>
      </c>
      <c r="C220" s="204">
        <f t="shared" si="15"/>
        <v>0.8169698930104439</v>
      </c>
    </row>
    <row r="221" spans="1:3" ht="12.75">
      <c r="A221" s="193">
        <f t="shared" si="13"/>
        <v>44601</v>
      </c>
      <c r="B221" s="358">
        <f t="shared" si="14"/>
        <v>216</v>
      </c>
      <c r="C221" s="194">
        <f t="shared" si="15"/>
        <v>0.631087944326052</v>
      </c>
    </row>
    <row r="222" spans="1:3" ht="12.75">
      <c r="A222" s="203">
        <f t="shared" si="13"/>
        <v>44602</v>
      </c>
      <c r="B222" s="361">
        <f t="shared" si="14"/>
        <v>217</v>
      </c>
      <c r="C222" s="204">
        <f t="shared" si="15"/>
        <v>0.398401089846243</v>
      </c>
    </row>
    <row r="223" spans="1:3" ht="12.75">
      <c r="A223" s="203">
        <f t="shared" si="13"/>
        <v>44603</v>
      </c>
      <c r="B223" s="361">
        <f t="shared" si="14"/>
        <v>218</v>
      </c>
      <c r="C223" s="204">
        <f t="shared" si="15"/>
        <v>0.13616664909625104</v>
      </c>
    </row>
    <row r="224" spans="1:3" ht="12.75">
      <c r="A224" s="203">
        <f t="shared" si="13"/>
        <v>44604</v>
      </c>
      <c r="B224" s="361">
        <f t="shared" si="14"/>
        <v>219</v>
      </c>
      <c r="C224" s="204">
        <f t="shared" si="15"/>
        <v>-0.13616664909624643</v>
      </c>
    </row>
    <row r="225" spans="1:3" ht="12.75">
      <c r="A225" s="203">
        <f t="shared" si="13"/>
        <v>44605</v>
      </c>
      <c r="B225" s="361">
        <f t="shared" si="14"/>
        <v>220</v>
      </c>
      <c r="C225" s="204">
        <f t="shared" si="15"/>
        <v>-0.39840108984623873</v>
      </c>
    </row>
    <row r="226" spans="1:3" ht="12.75">
      <c r="A226" s="203">
        <f t="shared" si="13"/>
        <v>44606</v>
      </c>
      <c r="B226" s="361">
        <f t="shared" si="14"/>
        <v>221</v>
      </c>
      <c r="C226" s="204">
        <f t="shared" si="15"/>
        <v>-0.6310879443260483</v>
      </c>
    </row>
    <row r="227" spans="1:3" ht="12.75">
      <c r="A227" s="203">
        <f t="shared" si="13"/>
        <v>44607</v>
      </c>
      <c r="B227" s="361">
        <f t="shared" si="14"/>
        <v>222</v>
      </c>
      <c r="C227" s="204">
        <f t="shared" si="15"/>
        <v>-0.8169698930104412</v>
      </c>
    </row>
    <row r="228" spans="1:3" ht="12.75">
      <c r="A228" s="203">
        <f t="shared" si="13"/>
        <v>44608</v>
      </c>
      <c r="B228" s="361">
        <f t="shared" si="14"/>
        <v>223</v>
      </c>
      <c r="C228" s="204">
        <f t="shared" si="15"/>
        <v>-0.9422609221188191</v>
      </c>
    </row>
    <row r="229" spans="1:3" ht="12.75">
      <c r="A229" s="203">
        <f t="shared" si="13"/>
        <v>44609</v>
      </c>
      <c r="B229" s="361">
        <f t="shared" si="14"/>
        <v>224</v>
      </c>
      <c r="C229" s="204">
        <f t="shared" si="15"/>
        <v>-0.9976687691905392</v>
      </c>
    </row>
    <row r="230" spans="1:3" ht="12.75">
      <c r="A230" s="203">
        <f aca="true" t="shared" si="16" ref="A230:A293">A229+1</f>
        <v>44610</v>
      </c>
      <c r="B230" s="361">
        <f t="shared" si="14"/>
        <v>225</v>
      </c>
      <c r="C230" s="204">
        <f t="shared" si="15"/>
        <v>-0.9790840876823235</v>
      </c>
    </row>
    <row r="231" spans="1:3" ht="12.75">
      <c r="A231" s="203">
        <f t="shared" si="16"/>
        <v>44611</v>
      </c>
      <c r="B231" s="361">
        <f t="shared" si="14"/>
        <v>226</v>
      </c>
      <c r="C231" s="204">
        <f t="shared" si="15"/>
        <v>-0.8878852184023778</v>
      </c>
    </row>
    <row r="232" spans="1:3" ht="12.75">
      <c r="A232" s="193">
        <f t="shared" si="16"/>
        <v>44612</v>
      </c>
      <c r="B232" s="358">
        <f t="shared" si="14"/>
        <v>227</v>
      </c>
      <c r="C232" s="194">
        <f t="shared" si="15"/>
        <v>-0.7308359642781249</v>
      </c>
    </row>
    <row r="233" spans="1:3" ht="12.75">
      <c r="A233" s="203">
        <f t="shared" si="16"/>
        <v>44613</v>
      </c>
      <c r="B233" s="361">
        <f t="shared" si="14"/>
        <v>228</v>
      </c>
      <c r="C233" s="204">
        <f t="shared" si="15"/>
        <v>-0.519583950035437</v>
      </c>
    </row>
    <row r="234" spans="1:3" ht="12.75">
      <c r="A234" s="203">
        <f t="shared" si="16"/>
        <v>44614</v>
      </c>
      <c r="B234" s="361">
        <f t="shared" si="14"/>
        <v>229</v>
      </c>
      <c r="C234" s="204">
        <f t="shared" si="15"/>
        <v>-0.26979677115702394</v>
      </c>
    </row>
    <row r="235" spans="1:3" ht="12.75">
      <c r="A235" s="203">
        <f t="shared" si="16"/>
        <v>44615</v>
      </c>
      <c r="B235" s="361">
        <f t="shared" si="14"/>
        <v>230</v>
      </c>
      <c r="C235" s="204">
        <f t="shared" si="15"/>
        <v>-2.45029690981724E-15</v>
      </c>
    </row>
    <row r="236" spans="1:3" ht="12.75">
      <c r="A236" s="203">
        <f t="shared" si="16"/>
        <v>44616</v>
      </c>
      <c r="B236" s="361">
        <f t="shared" si="14"/>
        <v>231</v>
      </c>
      <c r="C236" s="204">
        <f t="shared" si="15"/>
        <v>0.2697967711570192</v>
      </c>
    </row>
    <row r="237" spans="1:3" ht="12.75">
      <c r="A237" s="203">
        <f t="shared" si="16"/>
        <v>44617</v>
      </c>
      <c r="B237" s="361">
        <f t="shared" si="14"/>
        <v>232</v>
      </c>
      <c r="C237" s="204">
        <f t="shared" si="15"/>
        <v>0.5195839500354328</v>
      </c>
    </row>
    <row r="238" spans="1:3" ht="12.75">
      <c r="A238" s="203">
        <f t="shared" si="16"/>
        <v>44618</v>
      </c>
      <c r="B238" s="361">
        <f t="shared" si="14"/>
        <v>233</v>
      </c>
      <c r="C238" s="204">
        <f t="shared" si="15"/>
        <v>0.7308359642781216</v>
      </c>
    </row>
    <row r="239" spans="1:3" ht="12.75">
      <c r="A239" s="203">
        <f t="shared" si="16"/>
        <v>44619</v>
      </c>
      <c r="B239" s="361">
        <f t="shared" si="14"/>
        <v>234</v>
      </c>
      <c r="C239" s="204">
        <f t="shared" si="15"/>
        <v>0.8878852184023756</v>
      </c>
    </row>
    <row r="240" spans="1:3" ht="12.75">
      <c r="A240" s="203">
        <f t="shared" si="16"/>
        <v>44620</v>
      </c>
      <c r="B240" s="361">
        <f t="shared" si="14"/>
        <v>235</v>
      </c>
      <c r="C240" s="204">
        <f t="shared" si="15"/>
        <v>0.9790840876823225</v>
      </c>
    </row>
    <row r="241" spans="1:3" ht="12.75">
      <c r="A241" s="203">
        <f t="shared" si="16"/>
        <v>44621</v>
      </c>
      <c r="B241" s="361">
        <f t="shared" si="14"/>
        <v>236</v>
      </c>
      <c r="C241" s="204">
        <f t="shared" si="15"/>
        <v>0.9976687691905395</v>
      </c>
    </row>
    <row r="242" spans="1:3" ht="12.75">
      <c r="A242" s="203">
        <f t="shared" si="16"/>
        <v>44622</v>
      </c>
      <c r="B242" s="361">
        <f t="shared" si="14"/>
        <v>237</v>
      </c>
      <c r="C242" s="204">
        <f t="shared" si="15"/>
        <v>0.9422609221188183</v>
      </c>
    </row>
    <row r="243" spans="1:3" ht="12.75">
      <c r="A243" s="203">
        <f t="shared" si="16"/>
        <v>44623</v>
      </c>
      <c r="B243" s="361">
        <f t="shared" si="14"/>
        <v>238</v>
      </c>
      <c r="C243" s="204">
        <f t="shared" si="15"/>
        <v>0.8169698930104481</v>
      </c>
    </row>
    <row r="244" spans="1:3" ht="12.75">
      <c r="A244" s="193">
        <f t="shared" si="16"/>
        <v>44624</v>
      </c>
      <c r="B244" s="358">
        <f t="shared" si="14"/>
        <v>239</v>
      </c>
      <c r="C244" s="194">
        <f t="shared" si="15"/>
        <v>0.6310879443260521</v>
      </c>
    </row>
    <row r="245" spans="1:3" ht="12.75">
      <c r="A245" s="203">
        <f t="shared" si="16"/>
        <v>44625</v>
      </c>
      <c r="B245" s="361">
        <f t="shared" si="14"/>
        <v>240</v>
      </c>
      <c r="C245" s="204">
        <f t="shared" si="15"/>
        <v>0.39840108984624323</v>
      </c>
    </row>
    <row r="246" spans="1:3" ht="12.75">
      <c r="A246" s="203">
        <f t="shared" si="16"/>
        <v>44626</v>
      </c>
      <c r="B246" s="361">
        <f t="shared" si="14"/>
        <v>241</v>
      </c>
      <c r="C246" s="204">
        <f t="shared" si="15"/>
        <v>0.13616664909625129</v>
      </c>
    </row>
    <row r="247" spans="1:3" ht="12.75">
      <c r="A247" s="203">
        <f t="shared" si="16"/>
        <v>44627</v>
      </c>
      <c r="B247" s="361">
        <f t="shared" si="14"/>
        <v>242</v>
      </c>
      <c r="C247" s="204">
        <f t="shared" si="15"/>
        <v>-0.13616664909625323</v>
      </c>
    </row>
    <row r="248" spans="1:3" ht="12.75">
      <c r="A248" s="203">
        <f t="shared" si="16"/>
        <v>44628</v>
      </c>
      <c r="B248" s="361">
        <f t="shared" si="14"/>
        <v>243</v>
      </c>
      <c r="C248" s="204">
        <f t="shared" si="15"/>
        <v>-0.398401089846232</v>
      </c>
    </row>
    <row r="249" spans="1:3" ht="12.75">
      <c r="A249" s="203">
        <f t="shared" si="16"/>
        <v>44629</v>
      </c>
      <c r="B249" s="361">
        <f t="shared" si="14"/>
        <v>244</v>
      </c>
      <c r="C249" s="204">
        <f t="shared" si="15"/>
        <v>-0.6310879443260426</v>
      </c>
    </row>
    <row r="250" spans="1:3" ht="12.75">
      <c r="A250" s="203">
        <f t="shared" si="16"/>
        <v>44630</v>
      </c>
      <c r="B250" s="361">
        <f t="shared" si="14"/>
        <v>245</v>
      </c>
      <c r="C250" s="204">
        <f t="shared" si="15"/>
        <v>-0.8169698930104411</v>
      </c>
    </row>
    <row r="251" spans="1:3" ht="12.75">
      <c r="A251" s="203">
        <f t="shared" si="16"/>
        <v>44631</v>
      </c>
      <c r="B251" s="361">
        <f t="shared" si="14"/>
        <v>246</v>
      </c>
      <c r="C251" s="204">
        <f t="shared" si="15"/>
        <v>-0.942260922118819</v>
      </c>
    </row>
    <row r="252" spans="1:3" ht="12.75">
      <c r="A252" s="203">
        <f t="shared" si="16"/>
        <v>44632</v>
      </c>
      <c r="B252" s="361">
        <f t="shared" si="14"/>
        <v>247</v>
      </c>
      <c r="C252" s="204">
        <f t="shared" si="15"/>
        <v>-0.9976687691905397</v>
      </c>
    </row>
    <row r="253" spans="1:3" ht="12.75">
      <c r="A253" s="203">
        <f t="shared" si="16"/>
        <v>44633</v>
      </c>
      <c r="B253" s="361">
        <f t="shared" si="14"/>
        <v>248</v>
      </c>
      <c r="C253" s="204">
        <f t="shared" si="15"/>
        <v>-0.9790840876823249</v>
      </c>
    </row>
    <row r="254" spans="1:3" ht="12.75">
      <c r="A254" s="203">
        <f t="shared" si="16"/>
        <v>44634</v>
      </c>
      <c r="B254" s="361">
        <f t="shared" si="14"/>
        <v>249</v>
      </c>
      <c r="C254" s="204">
        <f t="shared" si="15"/>
        <v>-0.8878852184023811</v>
      </c>
    </row>
    <row r="255" spans="1:3" ht="12.75">
      <c r="A255" s="193">
        <f t="shared" si="16"/>
        <v>44635</v>
      </c>
      <c r="B255" s="358">
        <f t="shared" si="14"/>
        <v>250</v>
      </c>
      <c r="C255" s="194">
        <f t="shared" si="15"/>
        <v>-0.730835964278125</v>
      </c>
    </row>
    <row r="256" spans="1:3" ht="12.75">
      <c r="A256" s="203">
        <f t="shared" si="16"/>
        <v>44636</v>
      </c>
      <c r="B256" s="361">
        <f t="shared" si="14"/>
        <v>251</v>
      </c>
      <c r="C256" s="204">
        <f t="shared" si="15"/>
        <v>-0.5195839500354372</v>
      </c>
    </row>
    <row r="257" spans="1:3" ht="12.75">
      <c r="A257" s="203">
        <f t="shared" si="16"/>
        <v>44637</v>
      </c>
      <c r="B257" s="361">
        <f t="shared" si="14"/>
        <v>252</v>
      </c>
      <c r="C257" s="204">
        <f t="shared" si="15"/>
        <v>-0.26979677115701733</v>
      </c>
    </row>
    <row r="258" spans="1:3" ht="12.75">
      <c r="A258" s="203">
        <f t="shared" si="16"/>
        <v>44638</v>
      </c>
      <c r="B258" s="361">
        <f t="shared" si="14"/>
        <v>253</v>
      </c>
      <c r="C258" s="204">
        <f t="shared" si="15"/>
        <v>-9.800753958399966E-15</v>
      </c>
    </row>
    <row r="259" spans="1:3" ht="12.75">
      <c r="A259" s="203">
        <f t="shared" si="16"/>
        <v>44639</v>
      </c>
      <c r="B259" s="361">
        <f t="shared" si="14"/>
        <v>254</v>
      </c>
      <c r="C259" s="204">
        <f t="shared" si="15"/>
        <v>0.26979677115701217</v>
      </c>
    </row>
    <row r="260" spans="1:3" ht="12.75">
      <c r="A260" s="203">
        <f t="shared" si="16"/>
        <v>44640</v>
      </c>
      <c r="B260" s="361">
        <f t="shared" si="14"/>
        <v>255</v>
      </c>
      <c r="C260" s="204">
        <f t="shared" si="15"/>
        <v>0.5195839500354326</v>
      </c>
    </row>
    <row r="261" spans="1:3" ht="12.75">
      <c r="A261" s="203">
        <f t="shared" si="16"/>
        <v>44641</v>
      </c>
      <c r="B261" s="361">
        <f t="shared" si="14"/>
        <v>256</v>
      </c>
      <c r="C261" s="204">
        <f t="shared" si="15"/>
        <v>0.7308359642781214</v>
      </c>
    </row>
    <row r="262" spans="1:3" ht="12.75">
      <c r="A262" s="203">
        <f t="shared" si="16"/>
        <v>44642</v>
      </c>
      <c r="B262" s="361">
        <f t="shared" si="14"/>
        <v>257</v>
      </c>
      <c r="C262" s="204">
        <f t="shared" si="15"/>
        <v>0.8878852184023787</v>
      </c>
    </row>
    <row r="263" spans="1:3" ht="12.75">
      <c r="A263" s="203">
        <f t="shared" si="16"/>
        <v>44643</v>
      </c>
      <c r="B263" s="361">
        <f t="shared" si="14"/>
        <v>258</v>
      </c>
      <c r="C263" s="204">
        <f t="shared" si="15"/>
        <v>0.9790840876823238</v>
      </c>
    </row>
    <row r="264" spans="1:3" ht="12.75">
      <c r="A264" s="203">
        <f t="shared" si="16"/>
        <v>44644</v>
      </c>
      <c r="B264" s="361">
        <f t="shared" si="14"/>
        <v>259</v>
      </c>
      <c r="C264" s="204">
        <f t="shared" si="15"/>
        <v>0.99766876919054</v>
      </c>
    </row>
    <row r="265" spans="1:3" ht="12.75">
      <c r="A265" s="203">
        <f t="shared" si="16"/>
        <v>44645</v>
      </c>
      <c r="B265" s="361">
        <f t="shared" si="14"/>
        <v>260</v>
      </c>
      <c r="C265" s="204">
        <f t="shared" si="15"/>
        <v>0.9422609221188208</v>
      </c>
    </row>
    <row r="266" spans="1:3" ht="12.75">
      <c r="A266" s="203">
        <f t="shared" si="16"/>
        <v>44646</v>
      </c>
      <c r="B266" s="361">
        <f t="shared" si="14"/>
        <v>261</v>
      </c>
      <c r="C266" s="204">
        <f t="shared" si="15"/>
        <v>0.8169698930104442</v>
      </c>
    </row>
    <row r="267" spans="1:3" ht="12.75">
      <c r="A267" s="193">
        <f t="shared" si="16"/>
        <v>44647</v>
      </c>
      <c r="B267" s="358">
        <f t="shared" si="14"/>
        <v>262</v>
      </c>
      <c r="C267" s="194">
        <f t="shared" si="15"/>
        <v>0.6310879443260468</v>
      </c>
    </row>
    <row r="268" spans="1:3" ht="12.75">
      <c r="A268" s="203">
        <f t="shared" si="16"/>
        <v>44648</v>
      </c>
      <c r="B268" s="361">
        <f t="shared" si="14"/>
        <v>263</v>
      </c>
      <c r="C268" s="204">
        <f t="shared" si="15"/>
        <v>0.39840108984623696</v>
      </c>
    </row>
    <row r="269" spans="1:3" ht="12.75">
      <c r="A269" s="203">
        <f t="shared" si="16"/>
        <v>44649</v>
      </c>
      <c r="B269" s="361">
        <f aca="true" t="shared" si="17" ref="B269:B332">A269-$B$3</f>
        <v>264</v>
      </c>
      <c r="C269" s="204">
        <f aca="true" t="shared" si="18" ref="C269:C332">SIN(2*PI()*(B269/$C$6))</f>
        <v>0.13616664909625856</v>
      </c>
    </row>
    <row r="270" spans="1:3" ht="12.75">
      <c r="A270" s="203">
        <f t="shared" si="16"/>
        <v>44650</v>
      </c>
      <c r="B270" s="361">
        <f t="shared" si="17"/>
        <v>265</v>
      </c>
      <c r="C270" s="204">
        <f t="shared" si="18"/>
        <v>-0.13616664909624593</v>
      </c>
    </row>
    <row r="271" spans="1:3" ht="12.75">
      <c r="A271" s="203">
        <f t="shared" si="16"/>
        <v>44651</v>
      </c>
      <c r="B271" s="361">
        <f t="shared" si="17"/>
        <v>266</v>
      </c>
      <c r="C271" s="204">
        <f t="shared" si="18"/>
        <v>-0.3984010898462383</v>
      </c>
    </row>
    <row r="272" spans="1:3" ht="12.75">
      <c r="A272" s="203">
        <f t="shared" si="16"/>
        <v>44652</v>
      </c>
      <c r="B272" s="361">
        <f t="shared" si="17"/>
        <v>267</v>
      </c>
      <c r="C272" s="204">
        <f t="shared" si="18"/>
        <v>-0.631087944326048</v>
      </c>
    </row>
    <row r="273" spans="1:3" ht="12.75">
      <c r="A273" s="203">
        <f t="shared" si="16"/>
        <v>44653</v>
      </c>
      <c r="B273" s="361">
        <f t="shared" si="17"/>
        <v>268</v>
      </c>
      <c r="C273" s="204">
        <f t="shared" si="18"/>
        <v>-0.816969893010445</v>
      </c>
    </row>
    <row r="274" spans="1:3" ht="12.75">
      <c r="A274" s="203">
        <f t="shared" si="16"/>
        <v>44654</v>
      </c>
      <c r="B274" s="361">
        <f t="shared" si="17"/>
        <v>269</v>
      </c>
      <c r="C274" s="204">
        <f t="shared" si="18"/>
        <v>-0.9422609221188165</v>
      </c>
    </row>
    <row r="275" spans="1:3" ht="12.75">
      <c r="A275" s="203">
        <f t="shared" si="16"/>
        <v>44655</v>
      </c>
      <c r="B275" s="361">
        <f t="shared" si="17"/>
        <v>270</v>
      </c>
      <c r="C275" s="204">
        <f t="shared" si="18"/>
        <v>-0.9976687691905392</v>
      </c>
    </row>
    <row r="276" spans="1:3" ht="12.75">
      <c r="A276" s="203">
        <f t="shared" si="16"/>
        <v>44656</v>
      </c>
      <c r="B276" s="361">
        <f t="shared" si="17"/>
        <v>271</v>
      </c>
      <c r="C276" s="204">
        <f t="shared" si="18"/>
        <v>-0.9790840876823236</v>
      </c>
    </row>
    <row r="277" spans="1:3" ht="12.75">
      <c r="A277" s="203">
        <f t="shared" si="16"/>
        <v>44657</v>
      </c>
      <c r="B277" s="361">
        <f t="shared" si="17"/>
        <v>272</v>
      </c>
      <c r="C277" s="204">
        <f t="shared" si="18"/>
        <v>-0.887885218402378</v>
      </c>
    </row>
    <row r="278" spans="1:3" ht="12.75">
      <c r="A278" s="193">
        <f t="shared" si="16"/>
        <v>44658</v>
      </c>
      <c r="B278" s="358">
        <f t="shared" si="17"/>
        <v>273</v>
      </c>
      <c r="C278" s="194">
        <f t="shared" si="18"/>
        <v>-0.7308359642781204</v>
      </c>
    </row>
    <row r="279" spans="1:3" ht="12.75">
      <c r="A279" s="203">
        <f t="shared" si="16"/>
        <v>44659</v>
      </c>
      <c r="B279" s="361">
        <f t="shared" si="17"/>
        <v>274</v>
      </c>
      <c r="C279" s="204">
        <f t="shared" si="18"/>
        <v>-0.5195839500354434</v>
      </c>
    </row>
    <row r="280" spans="1:3" ht="12.75">
      <c r="A280" s="203">
        <f t="shared" si="16"/>
        <v>44660</v>
      </c>
      <c r="B280" s="361">
        <f t="shared" si="17"/>
        <v>275</v>
      </c>
      <c r="C280" s="204">
        <f t="shared" si="18"/>
        <v>-0.26979677115702444</v>
      </c>
    </row>
    <row r="281" spans="1:3" ht="12.75">
      <c r="A281" s="203">
        <f t="shared" si="16"/>
        <v>44661</v>
      </c>
      <c r="B281" s="361">
        <f t="shared" si="17"/>
        <v>276</v>
      </c>
      <c r="C281" s="204">
        <f t="shared" si="18"/>
        <v>-2.940356291780688E-15</v>
      </c>
    </row>
    <row r="282" spans="1:3" ht="12.75">
      <c r="A282" s="203">
        <f t="shared" si="16"/>
        <v>44662</v>
      </c>
      <c r="B282" s="361">
        <f t="shared" si="17"/>
        <v>277</v>
      </c>
      <c r="C282" s="204">
        <f t="shared" si="18"/>
        <v>0.2697967711570188</v>
      </c>
    </row>
    <row r="283" spans="1:3" ht="12.75">
      <c r="A283" s="203">
        <f t="shared" si="16"/>
        <v>44663</v>
      </c>
      <c r="B283" s="361">
        <f t="shared" si="17"/>
        <v>278</v>
      </c>
      <c r="C283" s="204">
        <f t="shared" si="18"/>
        <v>0.5195839500354384</v>
      </c>
    </row>
    <row r="284" spans="1:3" ht="12.75">
      <c r="A284" s="203">
        <f t="shared" si="16"/>
        <v>44664</v>
      </c>
      <c r="B284" s="361">
        <f t="shared" si="17"/>
        <v>279</v>
      </c>
      <c r="C284" s="204">
        <f t="shared" si="18"/>
        <v>0.7308359642781164</v>
      </c>
    </row>
    <row r="285" spans="1:3" ht="12.75">
      <c r="A285" s="203">
        <f t="shared" si="16"/>
        <v>44665</v>
      </c>
      <c r="B285" s="361">
        <f t="shared" si="17"/>
        <v>280</v>
      </c>
      <c r="C285" s="204">
        <f t="shared" si="18"/>
        <v>0.8878852184023753</v>
      </c>
    </row>
    <row r="286" spans="1:3" ht="12.75">
      <c r="A286" s="203">
        <f t="shared" si="16"/>
        <v>44666</v>
      </c>
      <c r="B286" s="361">
        <f t="shared" si="17"/>
        <v>281</v>
      </c>
      <c r="C286" s="204">
        <f t="shared" si="18"/>
        <v>0.9790840876823224</v>
      </c>
    </row>
    <row r="287" spans="1:3" ht="12.75">
      <c r="A287" s="203">
        <f t="shared" si="16"/>
        <v>44667</v>
      </c>
      <c r="B287" s="361">
        <f t="shared" si="17"/>
        <v>282</v>
      </c>
      <c r="C287" s="204">
        <f t="shared" si="18"/>
        <v>0.9976687691905396</v>
      </c>
    </row>
    <row r="288" spans="1:3" ht="12.75">
      <c r="A288" s="203">
        <f t="shared" si="16"/>
        <v>44668</v>
      </c>
      <c r="B288" s="361">
        <f t="shared" si="17"/>
        <v>283</v>
      </c>
      <c r="C288" s="204">
        <f t="shared" si="18"/>
        <v>0.9422609221188185</v>
      </c>
    </row>
    <row r="289" spans="1:3" ht="12.75">
      <c r="A289" s="203">
        <f t="shared" si="16"/>
        <v>44669</v>
      </c>
      <c r="B289" s="361">
        <f t="shared" si="17"/>
        <v>284</v>
      </c>
      <c r="C289" s="204">
        <f t="shared" si="18"/>
        <v>0.8169698930104484</v>
      </c>
    </row>
    <row r="290" spans="1:3" ht="12.75">
      <c r="A290" s="193">
        <f t="shared" si="16"/>
        <v>44670</v>
      </c>
      <c r="B290" s="358">
        <f t="shared" si="17"/>
        <v>285</v>
      </c>
      <c r="C290" s="194">
        <f t="shared" si="18"/>
        <v>0.6310879443260525</v>
      </c>
    </row>
    <row r="291" spans="1:3" ht="12.75">
      <c r="A291" s="203">
        <f t="shared" si="16"/>
        <v>44671</v>
      </c>
      <c r="B291" s="361">
        <f t="shared" si="17"/>
        <v>286</v>
      </c>
      <c r="C291" s="204">
        <f t="shared" si="18"/>
        <v>0.3984010898462437</v>
      </c>
    </row>
    <row r="292" spans="1:3" ht="12.75">
      <c r="A292" s="203">
        <f t="shared" si="16"/>
        <v>44672</v>
      </c>
      <c r="B292" s="361">
        <f t="shared" si="17"/>
        <v>287</v>
      </c>
      <c r="C292" s="204">
        <f t="shared" si="18"/>
        <v>0.13616664909625176</v>
      </c>
    </row>
    <row r="293" spans="1:3" ht="12.75">
      <c r="A293" s="203">
        <f t="shared" si="16"/>
        <v>44673</v>
      </c>
      <c r="B293" s="361">
        <f t="shared" si="17"/>
        <v>288</v>
      </c>
      <c r="C293" s="204">
        <f t="shared" si="18"/>
        <v>-0.13616664909625273</v>
      </c>
    </row>
    <row r="294" spans="1:3" ht="12.75">
      <c r="A294" s="203">
        <f aca="true" t="shared" si="19" ref="A294:A357">A293+1</f>
        <v>44674</v>
      </c>
      <c r="B294" s="361">
        <f t="shared" si="17"/>
        <v>289</v>
      </c>
      <c r="C294" s="204">
        <f t="shared" si="18"/>
        <v>-0.39840108984623157</v>
      </c>
    </row>
    <row r="295" spans="1:3" ht="12.75">
      <c r="A295" s="203">
        <f t="shared" si="19"/>
        <v>44675</v>
      </c>
      <c r="B295" s="361">
        <f t="shared" si="17"/>
        <v>290</v>
      </c>
      <c r="C295" s="204">
        <f t="shared" si="18"/>
        <v>-0.6310879443260422</v>
      </c>
    </row>
    <row r="296" spans="1:3" ht="12.75">
      <c r="A296" s="203">
        <f t="shared" si="19"/>
        <v>44676</v>
      </c>
      <c r="B296" s="361">
        <f t="shared" si="17"/>
        <v>291</v>
      </c>
      <c r="C296" s="204">
        <f t="shared" si="18"/>
        <v>-0.8169698930104408</v>
      </c>
    </row>
    <row r="297" spans="1:3" ht="12.75">
      <c r="A297" s="203">
        <f t="shared" si="19"/>
        <v>44677</v>
      </c>
      <c r="B297" s="361">
        <f t="shared" si="17"/>
        <v>292</v>
      </c>
      <c r="C297" s="204">
        <f t="shared" si="18"/>
        <v>-0.9422609221188188</v>
      </c>
    </row>
    <row r="298" spans="1:3" ht="12.75">
      <c r="A298" s="203">
        <f t="shared" si="19"/>
        <v>44678</v>
      </c>
      <c r="B298" s="361">
        <f t="shared" si="17"/>
        <v>293</v>
      </c>
      <c r="C298" s="204">
        <f t="shared" si="18"/>
        <v>-0.9976687691905396</v>
      </c>
    </row>
    <row r="299" spans="1:3" ht="12.75">
      <c r="A299" s="203">
        <f t="shared" si="19"/>
        <v>44679</v>
      </c>
      <c r="B299" s="361">
        <f t="shared" si="17"/>
        <v>294</v>
      </c>
      <c r="C299" s="204">
        <f t="shared" si="18"/>
        <v>-0.979084087682325</v>
      </c>
    </row>
    <row r="300" spans="1:3" ht="12.75">
      <c r="A300" s="203">
        <f t="shared" si="19"/>
        <v>44680</v>
      </c>
      <c r="B300" s="361">
        <f t="shared" si="17"/>
        <v>295</v>
      </c>
      <c r="C300" s="204">
        <f t="shared" si="18"/>
        <v>-0.8878852184023813</v>
      </c>
    </row>
    <row r="301" spans="1:3" ht="12.75">
      <c r="A301" s="193">
        <f t="shared" si="19"/>
        <v>44681</v>
      </c>
      <c r="B301" s="358">
        <f t="shared" si="17"/>
        <v>296</v>
      </c>
      <c r="C301" s="194">
        <f t="shared" si="18"/>
        <v>-0.7308359642781254</v>
      </c>
    </row>
    <row r="302" spans="1:3" ht="12.75">
      <c r="A302" s="203">
        <f t="shared" si="19"/>
        <v>44682</v>
      </c>
      <c r="B302" s="361">
        <f t="shared" si="17"/>
        <v>297</v>
      </c>
      <c r="C302" s="204">
        <f t="shared" si="18"/>
        <v>-0.5195839500354376</v>
      </c>
    </row>
    <row r="303" spans="1:3" ht="12.75">
      <c r="A303" s="203">
        <f t="shared" si="19"/>
        <v>44683</v>
      </c>
      <c r="B303" s="361">
        <f t="shared" si="17"/>
        <v>298</v>
      </c>
      <c r="C303" s="204">
        <f t="shared" si="18"/>
        <v>-0.26979677115701783</v>
      </c>
    </row>
    <row r="304" spans="1:3" ht="12.75">
      <c r="A304" s="203">
        <f t="shared" si="19"/>
        <v>44684</v>
      </c>
      <c r="B304" s="361">
        <f t="shared" si="17"/>
        <v>299</v>
      </c>
      <c r="C304" s="204">
        <f t="shared" si="18"/>
        <v>3.92004137483859E-15</v>
      </c>
    </row>
    <row r="305" spans="1:3" ht="12.75">
      <c r="A305" s="203">
        <f t="shared" si="19"/>
        <v>44685</v>
      </c>
      <c r="B305" s="361">
        <f t="shared" si="17"/>
        <v>300</v>
      </c>
      <c r="C305" s="204">
        <f t="shared" si="18"/>
        <v>0.26979677115701167</v>
      </c>
    </row>
    <row r="306" spans="1:3" ht="12.75">
      <c r="A306" s="203">
        <f t="shared" si="19"/>
        <v>44686</v>
      </c>
      <c r="B306" s="361">
        <f t="shared" si="17"/>
        <v>301</v>
      </c>
      <c r="C306" s="204">
        <f t="shared" si="18"/>
        <v>0.5195839500354321</v>
      </c>
    </row>
    <row r="307" spans="1:3" ht="12.75">
      <c r="A307" s="203">
        <f t="shared" si="19"/>
        <v>44687</v>
      </c>
      <c r="B307" s="361">
        <f t="shared" si="17"/>
        <v>302</v>
      </c>
      <c r="C307" s="204">
        <f t="shared" si="18"/>
        <v>0.730835964278121</v>
      </c>
    </row>
    <row r="308" spans="1:3" ht="12.75">
      <c r="A308" s="203">
        <f t="shared" si="19"/>
        <v>44688</v>
      </c>
      <c r="B308" s="361">
        <f t="shared" si="17"/>
        <v>303</v>
      </c>
      <c r="C308" s="204">
        <f t="shared" si="18"/>
        <v>0.8878852184023784</v>
      </c>
    </row>
    <row r="309" spans="1:3" ht="12.75">
      <c r="A309" s="203">
        <f t="shared" si="19"/>
        <v>44689</v>
      </c>
      <c r="B309" s="361">
        <f t="shared" si="17"/>
        <v>304</v>
      </c>
      <c r="C309" s="204">
        <f t="shared" si="18"/>
        <v>0.9790840876823237</v>
      </c>
    </row>
    <row r="310" spans="1:3" ht="12.75">
      <c r="A310" s="203">
        <f t="shared" si="19"/>
        <v>44690</v>
      </c>
      <c r="B310" s="361">
        <f t="shared" si="17"/>
        <v>305</v>
      </c>
      <c r="C310" s="204">
        <f t="shared" si="18"/>
        <v>0.99766876919054</v>
      </c>
    </row>
    <row r="311" spans="1:3" ht="12.75">
      <c r="A311" s="203">
        <f t="shared" si="19"/>
        <v>44691</v>
      </c>
      <c r="B311" s="361">
        <f t="shared" si="17"/>
        <v>306</v>
      </c>
      <c r="C311" s="204">
        <f t="shared" si="18"/>
        <v>0.942260922118821</v>
      </c>
    </row>
    <row r="312" spans="1:3" ht="12.75">
      <c r="A312" s="203">
        <f t="shared" si="19"/>
        <v>44692</v>
      </c>
      <c r="B312" s="361">
        <f t="shared" si="17"/>
        <v>307</v>
      </c>
      <c r="C312" s="204">
        <f t="shared" si="18"/>
        <v>0.8169698930104444</v>
      </c>
    </row>
    <row r="313" spans="1:3" ht="12.75">
      <c r="A313" s="193">
        <f t="shared" si="19"/>
        <v>44693</v>
      </c>
      <c r="B313" s="358">
        <f t="shared" si="17"/>
        <v>308</v>
      </c>
      <c r="C313" s="194">
        <f t="shared" si="18"/>
        <v>0.6310879443260472</v>
      </c>
    </row>
    <row r="314" spans="1:3" ht="12.75">
      <c r="A314" s="203">
        <f t="shared" si="19"/>
        <v>44694</v>
      </c>
      <c r="B314" s="361">
        <f t="shared" si="17"/>
        <v>309</v>
      </c>
      <c r="C314" s="204">
        <f t="shared" si="18"/>
        <v>0.3984010898462374</v>
      </c>
    </row>
    <row r="315" spans="1:3" ht="12.75">
      <c r="A315" s="203">
        <f t="shared" si="19"/>
        <v>44695</v>
      </c>
      <c r="B315" s="361">
        <f t="shared" si="17"/>
        <v>310</v>
      </c>
      <c r="C315" s="204">
        <f t="shared" si="18"/>
        <v>0.13616664909625906</v>
      </c>
    </row>
    <row r="316" spans="1:3" ht="12.75">
      <c r="A316" s="203">
        <f t="shared" si="19"/>
        <v>44696</v>
      </c>
      <c r="B316" s="361">
        <f t="shared" si="17"/>
        <v>311</v>
      </c>
      <c r="C316" s="204">
        <f t="shared" si="18"/>
        <v>-0.13616664909624546</v>
      </c>
    </row>
    <row r="317" spans="1:3" ht="12.75">
      <c r="A317" s="203">
        <f t="shared" si="19"/>
        <v>44697</v>
      </c>
      <c r="B317" s="361">
        <f t="shared" si="17"/>
        <v>312</v>
      </c>
      <c r="C317" s="204">
        <f t="shared" si="18"/>
        <v>-0.39840108984623784</v>
      </c>
    </row>
    <row r="318" spans="1:3" ht="12.75">
      <c r="A318" s="203">
        <f t="shared" si="19"/>
        <v>44698</v>
      </c>
      <c r="B318" s="361">
        <f t="shared" si="17"/>
        <v>313</v>
      </c>
      <c r="C318" s="204">
        <f t="shared" si="18"/>
        <v>-0.6310879443260475</v>
      </c>
    </row>
    <row r="319" spans="1:3" ht="12.75">
      <c r="A319" s="203">
        <f t="shared" si="19"/>
        <v>44699</v>
      </c>
      <c r="B319" s="361">
        <f t="shared" si="17"/>
        <v>314</v>
      </c>
      <c r="C319" s="204">
        <f t="shared" si="18"/>
        <v>-0.8169698930104448</v>
      </c>
    </row>
    <row r="320" spans="1:3" ht="12.75">
      <c r="A320" s="203">
        <f t="shared" si="19"/>
        <v>44700</v>
      </c>
      <c r="B320" s="361">
        <f t="shared" si="17"/>
        <v>315</v>
      </c>
      <c r="C320" s="204">
        <f t="shared" si="18"/>
        <v>-0.9422609221188164</v>
      </c>
    </row>
    <row r="321" spans="1:3" ht="12.75">
      <c r="A321" s="203">
        <f t="shared" si="19"/>
        <v>44701</v>
      </c>
      <c r="B321" s="361">
        <f t="shared" si="17"/>
        <v>316</v>
      </c>
      <c r="C321" s="204">
        <f t="shared" si="18"/>
        <v>-0.9976687691905392</v>
      </c>
    </row>
    <row r="322" spans="1:3" ht="12.75">
      <c r="A322" s="203">
        <f t="shared" si="19"/>
        <v>44702</v>
      </c>
      <c r="B322" s="361">
        <f t="shared" si="17"/>
        <v>317</v>
      </c>
      <c r="C322" s="204">
        <f t="shared" si="18"/>
        <v>-0.9790840876823236</v>
      </c>
    </row>
    <row r="323" spans="1:3" ht="12.75">
      <c r="A323" s="203">
        <f t="shared" si="19"/>
        <v>44703</v>
      </c>
      <c r="B323" s="361">
        <f t="shared" si="17"/>
        <v>318</v>
      </c>
      <c r="C323" s="204">
        <f t="shared" si="18"/>
        <v>-0.8878852184023782</v>
      </c>
    </row>
    <row r="324" spans="1:3" ht="12.75">
      <c r="A324" s="193">
        <f t="shared" si="19"/>
        <v>44704</v>
      </c>
      <c r="B324" s="358">
        <f t="shared" si="17"/>
        <v>319</v>
      </c>
      <c r="C324" s="194">
        <f t="shared" si="18"/>
        <v>-0.7308359642781207</v>
      </c>
    </row>
    <row r="325" spans="1:3" ht="12.75">
      <c r="A325" s="203">
        <f t="shared" si="19"/>
        <v>44705</v>
      </c>
      <c r="B325" s="361">
        <f t="shared" si="17"/>
        <v>320</v>
      </c>
      <c r="C325" s="204">
        <f t="shared" si="18"/>
        <v>-0.5195839500354439</v>
      </c>
    </row>
    <row r="326" spans="1:3" ht="12.75">
      <c r="A326" s="203">
        <f t="shared" si="19"/>
        <v>44706</v>
      </c>
      <c r="B326" s="361">
        <f t="shared" si="17"/>
        <v>321</v>
      </c>
      <c r="C326" s="204">
        <f t="shared" si="18"/>
        <v>-0.2697967711570249</v>
      </c>
    </row>
    <row r="327" spans="1:3" ht="12.75">
      <c r="A327" s="203">
        <f t="shared" si="19"/>
        <v>44707</v>
      </c>
      <c r="B327" s="361">
        <f t="shared" si="17"/>
        <v>322</v>
      </c>
      <c r="C327" s="204">
        <f t="shared" si="18"/>
        <v>-3.430415673744136E-15</v>
      </c>
    </row>
    <row r="328" spans="1:3" ht="12.75">
      <c r="A328" s="203">
        <f t="shared" si="19"/>
        <v>44708</v>
      </c>
      <c r="B328" s="361">
        <f t="shared" si="17"/>
        <v>323</v>
      </c>
      <c r="C328" s="204">
        <f t="shared" si="18"/>
        <v>0.2697967711570183</v>
      </c>
    </row>
    <row r="329" spans="1:3" ht="12.75">
      <c r="A329" s="203">
        <f t="shared" si="19"/>
        <v>44709</v>
      </c>
      <c r="B329" s="361">
        <f t="shared" si="17"/>
        <v>324</v>
      </c>
      <c r="C329" s="204">
        <f t="shared" si="18"/>
        <v>0.519583950035438</v>
      </c>
    </row>
    <row r="330" spans="1:3" ht="12.75">
      <c r="A330" s="203">
        <f t="shared" si="19"/>
        <v>44710</v>
      </c>
      <c r="B330" s="361">
        <f t="shared" si="17"/>
        <v>325</v>
      </c>
      <c r="C330" s="204">
        <f t="shared" si="18"/>
        <v>0.730835964278116</v>
      </c>
    </row>
    <row r="331" spans="1:3" ht="12.75">
      <c r="A331" s="203">
        <f t="shared" si="19"/>
        <v>44711</v>
      </c>
      <c r="B331" s="361">
        <f t="shared" si="17"/>
        <v>326</v>
      </c>
      <c r="C331" s="204">
        <f t="shared" si="18"/>
        <v>0.8878852184023751</v>
      </c>
    </row>
    <row r="332" spans="1:3" ht="12.75">
      <c r="A332" s="203">
        <f t="shared" si="19"/>
        <v>44712</v>
      </c>
      <c r="B332" s="361">
        <f t="shared" si="17"/>
        <v>327</v>
      </c>
      <c r="C332" s="204">
        <f t="shared" si="18"/>
        <v>0.9790840876823222</v>
      </c>
    </row>
    <row r="333" spans="1:3" ht="12.75">
      <c r="A333" s="203">
        <f t="shared" si="19"/>
        <v>44713</v>
      </c>
      <c r="B333" s="361">
        <f aca="true" t="shared" si="20" ref="B333:B372">A333-$B$3</f>
        <v>328</v>
      </c>
      <c r="C333" s="204">
        <f aca="true" t="shared" si="21" ref="C333:C372">SIN(2*PI()*(B333/$C$6))</f>
        <v>0.9976687691905396</v>
      </c>
    </row>
    <row r="334" spans="1:3" ht="12.75">
      <c r="A334" s="203">
        <f t="shared" si="19"/>
        <v>44714</v>
      </c>
      <c r="B334" s="361">
        <f t="shared" si="20"/>
        <v>329</v>
      </c>
      <c r="C334" s="204">
        <f t="shared" si="21"/>
        <v>0.9422609221188186</v>
      </c>
    </row>
    <row r="335" spans="1:3" ht="12.75">
      <c r="A335" s="203">
        <f t="shared" si="19"/>
        <v>44715</v>
      </c>
      <c r="B335" s="361">
        <f t="shared" si="20"/>
        <v>330</v>
      </c>
      <c r="C335" s="204">
        <f t="shared" si="21"/>
        <v>0.8169698930104486</v>
      </c>
    </row>
    <row r="336" spans="1:3" ht="12.75">
      <c r="A336" s="193">
        <f t="shared" si="19"/>
        <v>44716</v>
      </c>
      <c r="B336" s="358">
        <f t="shared" si="20"/>
        <v>331</v>
      </c>
      <c r="C336" s="194">
        <f t="shared" si="21"/>
        <v>0.6310879443260529</v>
      </c>
    </row>
    <row r="337" spans="1:3" ht="12.75">
      <c r="A337" s="203">
        <f t="shared" si="19"/>
        <v>44717</v>
      </c>
      <c r="B337" s="361">
        <f t="shared" si="20"/>
        <v>332</v>
      </c>
      <c r="C337" s="204">
        <f t="shared" si="21"/>
        <v>0.3984010898462441</v>
      </c>
    </row>
    <row r="338" spans="1:3" ht="12.75">
      <c r="A338" s="203">
        <f t="shared" si="19"/>
        <v>44718</v>
      </c>
      <c r="B338" s="361">
        <f t="shared" si="20"/>
        <v>333</v>
      </c>
      <c r="C338" s="204">
        <f t="shared" si="21"/>
        <v>0.13616664909625226</v>
      </c>
    </row>
    <row r="339" spans="1:3" ht="12.75">
      <c r="A339" s="203">
        <f t="shared" si="19"/>
        <v>44719</v>
      </c>
      <c r="B339" s="361">
        <f t="shared" si="20"/>
        <v>334</v>
      </c>
      <c r="C339" s="204">
        <f t="shared" si="21"/>
        <v>-0.13616664909625226</v>
      </c>
    </row>
    <row r="340" spans="1:3" ht="12.75">
      <c r="A340" s="203">
        <f t="shared" si="19"/>
        <v>44720</v>
      </c>
      <c r="B340" s="361">
        <f t="shared" si="20"/>
        <v>335</v>
      </c>
      <c r="C340" s="204">
        <f t="shared" si="21"/>
        <v>-0.3984010898462311</v>
      </c>
    </row>
    <row r="341" spans="1:3" ht="12.75">
      <c r="A341" s="203">
        <f t="shared" si="19"/>
        <v>44721</v>
      </c>
      <c r="B341" s="361">
        <f t="shared" si="20"/>
        <v>336</v>
      </c>
      <c r="C341" s="204">
        <f t="shared" si="21"/>
        <v>-0.6310879443260419</v>
      </c>
    </row>
    <row r="342" spans="1:3" ht="12.75">
      <c r="A342" s="203">
        <f t="shared" si="19"/>
        <v>44722</v>
      </c>
      <c r="B342" s="361">
        <f t="shared" si="20"/>
        <v>337</v>
      </c>
      <c r="C342" s="204">
        <f t="shared" si="21"/>
        <v>-0.8169698930104404</v>
      </c>
    </row>
    <row r="343" spans="1:3" ht="12.75">
      <c r="A343" s="203">
        <f t="shared" si="19"/>
        <v>44723</v>
      </c>
      <c r="B343" s="361">
        <f t="shared" si="20"/>
        <v>338</v>
      </c>
      <c r="C343" s="204">
        <f t="shared" si="21"/>
        <v>-0.9422609221188186</v>
      </c>
    </row>
    <row r="344" spans="1:3" ht="12.75">
      <c r="A344" s="203">
        <f t="shared" si="19"/>
        <v>44724</v>
      </c>
      <c r="B344" s="361">
        <f t="shared" si="20"/>
        <v>339</v>
      </c>
      <c r="C344" s="204">
        <f t="shared" si="21"/>
        <v>-0.9976687691905396</v>
      </c>
    </row>
    <row r="345" spans="1:3" ht="12.75">
      <c r="A345" s="203">
        <f t="shared" si="19"/>
        <v>44725</v>
      </c>
      <c r="B345" s="361">
        <f t="shared" si="20"/>
        <v>340</v>
      </c>
      <c r="C345" s="204">
        <f t="shared" si="21"/>
        <v>-0.9790840876823251</v>
      </c>
    </row>
    <row r="346" spans="1:3" ht="12.75">
      <c r="A346" s="203">
        <f t="shared" si="19"/>
        <v>44726</v>
      </c>
      <c r="B346" s="361">
        <f t="shared" si="20"/>
        <v>341</v>
      </c>
      <c r="C346" s="204">
        <f t="shared" si="21"/>
        <v>-0.8878852184023815</v>
      </c>
    </row>
    <row r="347" spans="1:3" ht="12.75">
      <c r="A347" s="193">
        <f t="shared" si="19"/>
        <v>44727</v>
      </c>
      <c r="B347" s="358">
        <f t="shared" si="20"/>
        <v>342</v>
      </c>
      <c r="C347" s="194">
        <f t="shared" si="21"/>
        <v>-0.7308359642781257</v>
      </c>
    </row>
    <row r="348" spans="1:3" ht="12.75">
      <c r="A348" s="203">
        <f t="shared" si="19"/>
        <v>44728</v>
      </c>
      <c r="B348" s="361">
        <f t="shared" si="20"/>
        <v>343</v>
      </c>
      <c r="C348" s="204">
        <f t="shared" si="21"/>
        <v>-0.519583950035438</v>
      </c>
    </row>
    <row r="349" spans="1:3" ht="12.75">
      <c r="A349" s="203">
        <f t="shared" si="19"/>
        <v>44729</v>
      </c>
      <c r="B349" s="361">
        <f t="shared" si="20"/>
        <v>344</v>
      </c>
      <c r="C349" s="204">
        <f t="shared" si="21"/>
        <v>-0.2697967711570183</v>
      </c>
    </row>
    <row r="350" spans="1:3" ht="12.75">
      <c r="A350" s="203">
        <f t="shared" si="19"/>
        <v>44730</v>
      </c>
      <c r="B350" s="361">
        <f t="shared" si="20"/>
        <v>345</v>
      </c>
      <c r="C350" s="204">
        <f t="shared" si="21"/>
        <v>-1.0780872722326862E-14</v>
      </c>
    </row>
    <row r="351" spans="1:3" ht="12.75">
      <c r="A351" s="203">
        <f t="shared" si="19"/>
        <v>44731</v>
      </c>
      <c r="B351" s="361">
        <f t="shared" si="20"/>
        <v>346</v>
      </c>
      <c r="C351" s="204">
        <f t="shared" si="21"/>
        <v>0.26979677115701123</v>
      </c>
    </row>
    <row r="352" spans="1:3" ht="12.75">
      <c r="A352" s="203">
        <f t="shared" si="19"/>
        <v>44732</v>
      </c>
      <c r="B352" s="361">
        <f t="shared" si="20"/>
        <v>347</v>
      </c>
      <c r="C352" s="204">
        <f t="shared" si="21"/>
        <v>0.5195839500354318</v>
      </c>
    </row>
    <row r="353" spans="1:3" ht="12.75">
      <c r="A353" s="203">
        <f t="shared" si="19"/>
        <v>44733</v>
      </c>
      <c r="B353" s="361">
        <f t="shared" si="20"/>
        <v>348</v>
      </c>
      <c r="C353" s="204">
        <f t="shared" si="21"/>
        <v>0.7308359642781207</v>
      </c>
    </row>
    <row r="354" spans="1:3" ht="12.75">
      <c r="A354" s="203">
        <f t="shared" si="19"/>
        <v>44734</v>
      </c>
      <c r="B354" s="361">
        <f t="shared" si="20"/>
        <v>349</v>
      </c>
      <c r="C354" s="204">
        <f t="shared" si="21"/>
        <v>0.8878852184023782</v>
      </c>
    </row>
    <row r="355" spans="1:3" ht="12.75">
      <c r="A355" s="203">
        <f t="shared" si="19"/>
        <v>44735</v>
      </c>
      <c r="B355" s="361">
        <f t="shared" si="20"/>
        <v>350</v>
      </c>
      <c r="C355" s="204">
        <f t="shared" si="21"/>
        <v>0.9790840876823236</v>
      </c>
    </row>
    <row r="356" spans="1:3" ht="12.75">
      <c r="A356" s="203">
        <f t="shared" si="19"/>
        <v>44736</v>
      </c>
      <c r="B356" s="361">
        <f t="shared" si="20"/>
        <v>351</v>
      </c>
      <c r="C356" s="204">
        <f t="shared" si="21"/>
        <v>0.9976687691905402</v>
      </c>
    </row>
    <row r="357" spans="1:3" ht="12.75">
      <c r="A357" s="203">
        <f t="shared" si="19"/>
        <v>44737</v>
      </c>
      <c r="B357" s="361">
        <f t="shared" si="20"/>
        <v>352</v>
      </c>
      <c r="C357" s="204">
        <f t="shared" si="21"/>
        <v>0.9422609221188212</v>
      </c>
    </row>
    <row r="358" spans="1:3" ht="12.75">
      <c r="A358" s="203">
        <f aca="true" t="shared" si="22" ref="A358:A372">A357+1</f>
        <v>44738</v>
      </c>
      <c r="B358" s="361">
        <f t="shared" si="20"/>
        <v>353</v>
      </c>
      <c r="C358" s="204">
        <f t="shared" si="21"/>
        <v>0.8169698930104448</v>
      </c>
    </row>
    <row r="359" spans="1:3" ht="12.75">
      <c r="A359" s="193">
        <f t="shared" si="22"/>
        <v>44739</v>
      </c>
      <c r="B359" s="358">
        <f t="shared" si="20"/>
        <v>354</v>
      </c>
      <c r="C359" s="194">
        <f t="shared" si="21"/>
        <v>0.6310879443260475</v>
      </c>
    </row>
    <row r="360" spans="1:3" ht="12.75">
      <c r="A360" s="203">
        <f t="shared" si="22"/>
        <v>44740</v>
      </c>
      <c r="B360" s="361">
        <f t="shared" si="20"/>
        <v>355</v>
      </c>
      <c r="C360" s="204">
        <f t="shared" si="21"/>
        <v>0.39840108984623784</v>
      </c>
    </row>
    <row r="361" spans="1:3" ht="12.75">
      <c r="A361" s="203">
        <f t="shared" si="22"/>
        <v>44741</v>
      </c>
      <c r="B361" s="361">
        <f t="shared" si="20"/>
        <v>356</v>
      </c>
      <c r="C361" s="204">
        <f t="shared" si="21"/>
        <v>0.13616664909625953</v>
      </c>
    </row>
    <row r="362" spans="1:3" ht="12.75">
      <c r="A362" s="203">
        <f t="shared" si="22"/>
        <v>44742</v>
      </c>
      <c r="B362" s="361">
        <f t="shared" si="20"/>
        <v>357</v>
      </c>
      <c r="C362" s="204">
        <f t="shared" si="21"/>
        <v>-0.13616664909624496</v>
      </c>
    </row>
    <row r="363" spans="1:3" ht="12.75">
      <c r="A363" s="203">
        <f t="shared" si="22"/>
        <v>44743</v>
      </c>
      <c r="B363" s="361">
        <f t="shared" si="20"/>
        <v>358</v>
      </c>
      <c r="C363" s="204">
        <f t="shared" si="21"/>
        <v>-0.3984010898462374</v>
      </c>
    </row>
    <row r="364" spans="1:3" ht="12.75">
      <c r="A364" s="203">
        <f t="shared" si="22"/>
        <v>44744</v>
      </c>
      <c r="B364" s="361">
        <f t="shared" si="20"/>
        <v>359</v>
      </c>
      <c r="C364" s="204">
        <f t="shared" si="21"/>
        <v>-0.6310879443260472</v>
      </c>
    </row>
    <row r="365" spans="1:3" ht="12.75">
      <c r="A365" s="203">
        <f t="shared" si="22"/>
        <v>44745</v>
      </c>
      <c r="B365" s="361">
        <f t="shared" si="20"/>
        <v>360</v>
      </c>
      <c r="C365" s="204">
        <f t="shared" si="21"/>
        <v>-0.8169698930104444</v>
      </c>
    </row>
    <row r="366" spans="1:3" ht="12.75">
      <c r="A366" s="203">
        <f t="shared" si="22"/>
        <v>44746</v>
      </c>
      <c r="B366" s="361">
        <f t="shared" si="20"/>
        <v>361</v>
      </c>
      <c r="C366" s="204">
        <f t="shared" si="21"/>
        <v>-0.9422609221188162</v>
      </c>
    </row>
    <row r="367" spans="1:3" ht="12.75">
      <c r="A367" s="203">
        <f t="shared" si="22"/>
        <v>44747</v>
      </c>
      <c r="B367" s="361">
        <f t="shared" si="20"/>
        <v>362</v>
      </c>
      <c r="C367" s="204">
        <f t="shared" si="21"/>
        <v>-0.9976687691905392</v>
      </c>
    </row>
    <row r="368" spans="1:3" ht="12.75">
      <c r="A368" s="203">
        <f t="shared" si="22"/>
        <v>44748</v>
      </c>
      <c r="B368" s="361">
        <f t="shared" si="20"/>
        <v>363</v>
      </c>
      <c r="C368" s="204">
        <f t="shared" si="21"/>
        <v>-0.9790840876823237</v>
      </c>
    </row>
    <row r="369" spans="1:3" ht="12.75">
      <c r="A369" s="203">
        <f t="shared" si="22"/>
        <v>44749</v>
      </c>
      <c r="B369" s="361">
        <f t="shared" si="20"/>
        <v>364</v>
      </c>
      <c r="C369" s="204">
        <f t="shared" si="21"/>
        <v>-0.8878852184023784</v>
      </c>
    </row>
    <row r="370" spans="1:3" ht="12.75">
      <c r="A370" s="193">
        <f t="shared" si="22"/>
        <v>44750</v>
      </c>
      <c r="B370" s="358">
        <f t="shared" si="20"/>
        <v>365</v>
      </c>
      <c r="C370" s="194">
        <f t="shared" si="21"/>
        <v>-0.730835964278121</v>
      </c>
    </row>
    <row r="371" spans="1:3" ht="12.75">
      <c r="A371" s="203">
        <f t="shared" si="22"/>
        <v>44751</v>
      </c>
      <c r="B371" s="361">
        <f t="shared" si="20"/>
        <v>366</v>
      </c>
      <c r="C371" s="204">
        <f t="shared" si="21"/>
        <v>-0.5195839500354443</v>
      </c>
    </row>
    <row r="372" spans="1:3" ht="12.75">
      <c r="A372" s="203">
        <f t="shared" si="22"/>
        <v>44752</v>
      </c>
      <c r="B372" s="361">
        <f t="shared" si="20"/>
        <v>367</v>
      </c>
      <c r="C372" s="204">
        <f t="shared" si="21"/>
        <v>-0.2697967711570254</v>
      </c>
    </row>
  </sheetData>
  <printOptions/>
  <pageMargins left="0.75" right="0.75" top="1" bottom="1" header="0.4921259845" footer="0.4921259845"/>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Z12"/>
  <sheetViews>
    <sheetView zoomScalePageLayoutView="0" workbookViewId="0" topLeftCell="A1">
      <pane xSplit="1" topLeftCell="B1" activePane="topRight" state="frozen"/>
      <selection pane="topLeft" activeCell="D21" sqref="D21:G21"/>
      <selection pane="topRight" activeCell="A2" sqref="A2"/>
    </sheetView>
  </sheetViews>
  <sheetFormatPr defaultColWidth="11.421875" defaultRowHeight="12.75"/>
  <cols>
    <col min="1" max="1" width="13.8515625" style="6" customWidth="1"/>
    <col min="2" max="2" width="7.7109375" style="0" customWidth="1"/>
    <col min="3" max="3" width="4.28125" style="0" customWidth="1"/>
    <col min="4" max="4" width="9.57421875" style="0" customWidth="1"/>
    <col min="5" max="5" width="5.57421875" style="0" customWidth="1"/>
    <col min="6" max="6" width="8.7109375" style="0" customWidth="1"/>
    <col min="7" max="7" width="5.57421875" style="0" customWidth="1"/>
    <col min="8" max="8" width="9.57421875" style="0" customWidth="1"/>
    <col min="9" max="9" width="5.8515625" style="0" customWidth="1"/>
    <col min="10" max="10" width="5.7109375" style="0" customWidth="1"/>
    <col min="11" max="11" width="7.421875" style="0" customWidth="1"/>
    <col min="12" max="12" width="5.00390625" style="0" customWidth="1"/>
    <col min="13" max="13" width="4.8515625" style="0" customWidth="1"/>
    <col min="14" max="14" width="5.140625" style="0" customWidth="1"/>
    <col min="15" max="15" width="7.8515625" style="0" customWidth="1"/>
    <col min="16" max="16" width="5.7109375" style="0" customWidth="1"/>
    <col min="17" max="17" width="4.421875" style="0" customWidth="1"/>
    <col min="18" max="18" width="7.140625" style="0" customWidth="1"/>
    <col min="19" max="19" width="5.28125" style="0" customWidth="1"/>
    <col min="20" max="20" width="4.421875" style="0" customWidth="1"/>
    <col min="21" max="21" width="8.57421875" style="0" customWidth="1"/>
    <col min="22" max="22" width="8.00390625" style="0" customWidth="1"/>
    <col min="23" max="23" width="2.140625" style="0" customWidth="1"/>
    <col min="24" max="24" width="9.140625" style="0" customWidth="1"/>
    <col min="25" max="25" width="8.00390625" style="0" customWidth="1"/>
    <col min="26" max="26" width="2.140625" style="0" customWidth="1"/>
  </cols>
  <sheetData>
    <row r="1" spans="1:8" ht="12.75">
      <c r="A1" s="69" t="s">
        <v>240</v>
      </c>
      <c r="B1" s="80"/>
      <c r="C1" s="68"/>
      <c r="D1" s="79"/>
      <c r="E1" s="241"/>
      <c r="F1" s="80"/>
      <c r="G1" s="68"/>
      <c r="H1" s="79"/>
    </row>
    <row r="2" spans="1:26" ht="12.75">
      <c r="A2" s="81">
        <f ca="1">TODAY()</f>
        <v>44267</v>
      </c>
      <c r="B2" s="71" t="s">
        <v>317</v>
      </c>
      <c r="C2" s="82"/>
      <c r="D2" s="79" t="s">
        <v>65</v>
      </c>
      <c r="E2" s="241"/>
      <c r="F2" s="71" t="s">
        <v>318</v>
      </c>
      <c r="G2" s="82"/>
      <c r="H2" s="79" t="s">
        <v>65</v>
      </c>
      <c r="J2" s="86"/>
      <c r="K2" s="87" t="s">
        <v>66</v>
      </c>
      <c r="L2" s="403" t="s">
        <v>67</v>
      </c>
      <c r="M2" s="403"/>
      <c r="N2" s="403"/>
      <c r="O2" s="404" t="s">
        <v>68</v>
      </c>
      <c r="P2" s="404"/>
      <c r="Q2" s="404"/>
      <c r="R2" s="404"/>
      <c r="S2" s="404"/>
      <c r="T2" s="404"/>
      <c r="U2" s="403" t="s">
        <v>69</v>
      </c>
      <c r="V2" s="403"/>
      <c r="W2" s="403"/>
      <c r="X2" s="403" t="s">
        <v>70</v>
      </c>
      <c r="Y2" s="403"/>
      <c r="Z2" s="403"/>
    </row>
    <row r="3" spans="1:26" ht="12.75">
      <c r="A3" s="83"/>
      <c r="B3" s="74" t="s">
        <v>43</v>
      </c>
      <c r="C3" s="72" t="s">
        <v>60</v>
      </c>
      <c r="D3" s="73" t="s">
        <v>61</v>
      </c>
      <c r="E3" s="47"/>
      <c r="F3" s="74" t="s">
        <v>43</v>
      </c>
      <c r="G3" s="72" t="s">
        <v>60</v>
      </c>
      <c r="H3" s="73" t="s">
        <v>61</v>
      </c>
      <c r="J3" s="85"/>
      <c r="K3" s="88" t="s">
        <v>71</v>
      </c>
      <c r="L3" s="89" t="s">
        <v>72</v>
      </c>
      <c r="M3" s="88" t="s">
        <v>73</v>
      </c>
      <c r="N3" s="90" t="s">
        <v>74</v>
      </c>
      <c r="O3" s="402"/>
      <c r="P3" s="402"/>
      <c r="Q3" s="402"/>
      <c r="R3" s="402"/>
      <c r="S3" s="402"/>
      <c r="T3" s="402"/>
      <c r="U3" s="402"/>
      <c r="V3" s="402"/>
      <c r="W3" s="402"/>
      <c r="X3" s="402"/>
      <c r="Y3" s="402"/>
      <c r="Z3" s="402"/>
    </row>
    <row r="4" spans="1:26" ht="12.75">
      <c r="A4" s="75" t="s">
        <v>3</v>
      </c>
      <c r="B4" s="78">
        <f>Jahresübersicht!B15</f>
        <v>2.3</v>
      </c>
      <c r="C4" s="77">
        <f>B4/52</f>
        <v>0.044230769230769226</v>
      </c>
      <c r="D4" s="70" t="s">
        <v>62</v>
      </c>
      <c r="E4" s="47"/>
      <c r="F4" s="78">
        <v>33</v>
      </c>
      <c r="G4" s="77">
        <f>F4/52</f>
        <v>0.6346153846153846</v>
      </c>
      <c r="H4" s="70" t="s">
        <v>62</v>
      </c>
      <c r="J4" s="91" t="s">
        <v>75</v>
      </c>
      <c r="K4" s="92">
        <v>1.5</v>
      </c>
      <c r="L4" s="93">
        <v>0</v>
      </c>
      <c r="M4" s="93">
        <v>22</v>
      </c>
      <c r="N4" s="93">
        <v>30</v>
      </c>
      <c r="O4" s="94" t="s">
        <v>76</v>
      </c>
      <c r="P4" s="95" t="str">
        <f>TEXT((100*(TIME(L4,M4,N4))/(K4*1000)),"mm:ss")</f>
        <v>01:30</v>
      </c>
      <c r="Q4" s="96" t="s">
        <v>77</v>
      </c>
      <c r="R4" s="97" t="s">
        <v>78</v>
      </c>
      <c r="S4" s="95" t="str">
        <f>TEXT((1000*(TIME(L4,M4,N4))/(K4*1000)),"mm:ss")</f>
        <v>15:00</v>
      </c>
      <c r="T4" s="98" t="s">
        <v>77</v>
      </c>
      <c r="U4" s="94" t="s">
        <v>79</v>
      </c>
      <c r="V4" s="99" t="str">
        <f>TEXT((1500*(TIME(L4,M4,N4))/(K4*1000)),"hh:mm:ss")</f>
        <v>00:22:30</v>
      </c>
      <c r="W4" s="100" t="s">
        <v>80</v>
      </c>
      <c r="X4" s="101" t="s">
        <v>81</v>
      </c>
      <c r="Y4" s="99" t="str">
        <f>TEXT((3800*(TIME(L4,M4,N4))/(K4*1000)),"hh:mm:ss")</f>
        <v>00:57:00</v>
      </c>
      <c r="Z4" s="102" t="s">
        <v>80</v>
      </c>
    </row>
    <row r="5" spans="1:26" ht="12.75">
      <c r="A5" s="75" t="s">
        <v>4</v>
      </c>
      <c r="B5" s="78">
        <f>Jahresübersicht!C15</f>
        <v>48.2</v>
      </c>
      <c r="C5" s="77">
        <f>B5/52</f>
        <v>0.926923076923077</v>
      </c>
      <c r="D5" s="70" t="s">
        <v>63</v>
      </c>
      <c r="E5" s="47"/>
      <c r="F5" s="78">
        <v>115</v>
      </c>
      <c r="G5" s="77">
        <f>F5/52</f>
        <v>2.2115384615384617</v>
      </c>
      <c r="H5" s="70" t="s">
        <v>63</v>
      </c>
      <c r="J5" s="91" t="s">
        <v>82</v>
      </c>
      <c r="K5" s="6">
        <v>40</v>
      </c>
      <c r="L5" s="103">
        <v>1</v>
      </c>
      <c r="M5" s="103">
        <v>10</v>
      </c>
      <c r="N5" s="103">
        <v>0</v>
      </c>
      <c r="O5" s="94" t="s">
        <v>83</v>
      </c>
      <c r="P5" s="104">
        <f>ROUND(K5/(L5+M5/60+N5/60^2),1)</f>
        <v>34.3</v>
      </c>
      <c r="Q5" s="96" t="s">
        <v>43</v>
      </c>
      <c r="R5" s="401"/>
      <c r="S5" s="401"/>
      <c r="T5" s="401"/>
      <c r="U5" s="94" t="s">
        <v>84</v>
      </c>
      <c r="V5" s="99" t="str">
        <f>TEXT(40*(TIME(L5,M5,N5)/K5),"hh:mm:ss")</f>
        <v>01:10:00</v>
      </c>
      <c r="W5" s="100" t="s">
        <v>80</v>
      </c>
      <c r="X5" s="101" t="s">
        <v>85</v>
      </c>
      <c r="Y5" s="99" t="str">
        <f>TEXT(180*(TIME(L5,M5,N5)/K5),"hh:mm:ss")</f>
        <v>05:15:00</v>
      </c>
      <c r="Z5" s="102" t="s">
        <v>80</v>
      </c>
    </row>
    <row r="6" spans="1:26" ht="12.75">
      <c r="A6" s="84" t="s">
        <v>5</v>
      </c>
      <c r="B6" s="76">
        <f>Jahresübersicht!D15</f>
        <v>7.8</v>
      </c>
      <c r="C6" s="77">
        <f>B6/52</f>
        <v>0.15</v>
      </c>
      <c r="D6" s="70" t="s">
        <v>64</v>
      </c>
      <c r="E6" s="47"/>
      <c r="F6" s="243">
        <v>26</v>
      </c>
      <c r="G6" s="77">
        <f>F6/52</f>
        <v>0.5</v>
      </c>
      <c r="H6" s="70" t="s">
        <v>64</v>
      </c>
      <c r="J6" s="91" t="s">
        <v>86</v>
      </c>
      <c r="K6" s="105">
        <v>10</v>
      </c>
      <c r="L6" s="103">
        <v>0</v>
      </c>
      <c r="M6" s="105">
        <v>39</v>
      </c>
      <c r="N6" s="103">
        <v>30</v>
      </c>
      <c r="O6" s="94" t="s">
        <v>87</v>
      </c>
      <c r="P6" s="95" t="str">
        <f>TEXT((TIME(L6,M6,N6)/K6),"mm:ss")</f>
        <v>03:57</v>
      </c>
      <c r="Q6" s="96" t="s">
        <v>77</v>
      </c>
      <c r="R6" s="401"/>
      <c r="S6" s="401"/>
      <c r="T6" s="401"/>
      <c r="U6" s="94" t="s">
        <v>88</v>
      </c>
      <c r="V6" s="99" t="str">
        <f>TEXT(10*(TIME(L6,M6,N6)/K6),"hh:mm:ss")</f>
        <v>00:39:30</v>
      </c>
      <c r="W6" s="102" t="s">
        <v>80</v>
      </c>
      <c r="X6" s="101" t="s">
        <v>89</v>
      </c>
      <c r="Y6" s="99" t="str">
        <f>TEXT(42*(TIME(L6,M6,N6)/K6),"hh:mm:ss")</f>
        <v>02:45:54</v>
      </c>
      <c r="Z6" s="102" t="s">
        <v>80</v>
      </c>
    </row>
    <row r="7" spans="1:26" ht="13.5" thickBot="1">
      <c r="A7" s="246"/>
      <c r="B7" s="242"/>
      <c r="C7" s="242"/>
      <c r="D7" s="245"/>
      <c r="E7" s="244"/>
      <c r="F7" s="247"/>
      <c r="G7" s="247"/>
      <c r="H7" s="247"/>
      <c r="U7" s="106" t="s">
        <v>90</v>
      </c>
      <c r="V7" s="107" t="str">
        <f>TEXT(TIMEVALUE(V4)+TIMEVALUE(V5)+TIMEVALUE(V6),"hh:mm:ss")</f>
        <v>02:12:00</v>
      </c>
      <c r="W7" s="107" t="s">
        <v>80</v>
      </c>
      <c r="X7" s="106" t="s">
        <v>91</v>
      </c>
      <c r="Y7" s="107" t="str">
        <f>TEXT(TIMEVALUE(Y4)+TIMEVALUE(Y5)+TIMEVALUE(Y6),"hh:mm:ss")</f>
        <v>08:57:54</v>
      </c>
      <c r="Z7" s="108" t="s">
        <v>80</v>
      </c>
    </row>
    <row r="8" ht="13.5" thickTop="1">
      <c r="A8"/>
    </row>
    <row r="9" ht="12.75">
      <c r="A9"/>
    </row>
    <row r="10" ht="12.75">
      <c r="A10"/>
    </row>
    <row r="11" ht="12.75">
      <c r="A11"/>
    </row>
    <row r="12" ht="12.75">
      <c r="A12"/>
    </row>
  </sheetData>
  <sheetProtection selectLockedCells="1" selectUnlockedCells="1"/>
  <mergeCells count="9">
    <mergeCell ref="L2:N2"/>
    <mergeCell ref="O2:T2"/>
    <mergeCell ref="U2:W2"/>
    <mergeCell ref="X2:Z2"/>
    <mergeCell ref="R6:T6"/>
    <mergeCell ref="O3:T3"/>
    <mergeCell ref="U3:W3"/>
    <mergeCell ref="X3:Z3"/>
    <mergeCell ref="R5:T5"/>
  </mergeCells>
  <printOptions/>
  <pageMargins left="0.7875" right="0.7875" top="0.9840277777777777" bottom="0.9840277777777777" header="0.5118055555555555" footer="0.5118055555555555"/>
  <pageSetup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netz</cp:lastModifiedBy>
  <dcterms:created xsi:type="dcterms:W3CDTF">2020-11-01T16:07:35Z</dcterms:created>
  <dcterms:modified xsi:type="dcterms:W3CDTF">2019-12-06T13:27:54Z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